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2.xml" ContentType="application/vnd.openxmlformats-officedocument.spreadsheetml.worksheet+xml"/>
  <Override PartName="/xl/comments7.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5940" windowHeight="3060" activeTab="3"/>
  </bookViews>
  <sheets>
    <sheet name="CorrgAllYrs" sheetId="1" r:id="rId1"/>
    <sheet name="CorrgFDiffcsAllYrs" sheetId="2" r:id="rId2"/>
    <sheet name="TrBl Graph All Years" sheetId="3" r:id="rId3"/>
    <sheet name="Three monthTr Bill" sheetId="4" r:id="rId4"/>
    <sheet name="Corrg Real Interest Rates" sheetId="5" r:id="rId5"/>
    <sheet name="Corrg First Diffcs Real Int Rat" sheetId="6" r:id="rId6"/>
    <sheet name="real interest rates" sheetId="7" r:id="rId7"/>
  </sheets>
  <definedNames>
    <definedName name="dec77">'Three monthTr Bill'!$A$567</definedName>
    <definedName name="dec79">'Three monthTr Bill'!$A$591</definedName>
    <definedName name="jan45">'Three monthTr Bill'!$A$172</definedName>
    <definedName name="jun00">'Three monthTr Bill'!$A$837</definedName>
    <definedName name="jun82">'Three monthTr Bill'!$A$621</definedName>
    <definedName name="starter">'real interest rates'!$J$6</definedName>
    <definedName name="StoreNumber">3.14159</definedName>
    <definedName name="Storestring">"Sales"</definedName>
  </definedNames>
  <calcPr fullCalcOnLoad="1" iterate="1" iterateCount="1" iterateDelta="0"/>
</workbook>
</file>

<file path=xl/comments4.xml><?xml version="1.0" encoding="utf-8"?>
<comments xmlns="http://schemas.openxmlformats.org/spreadsheetml/2006/main">
  <authors>
    <author>Sholom Feldblum</author>
  </authors>
  <commentList>
    <comment ref="Q123" authorId="0">
      <text>
        <r>
          <rPr>
            <b/>
            <sz val="8"/>
            <rFont val="Tahoma"/>
            <family val="0"/>
          </rPr>
          <t>Starting Feb 1941</t>
        </r>
      </text>
    </comment>
    <comment ref="J170" authorId="0">
      <text>
        <r>
          <rPr>
            <b/>
            <sz val="8"/>
            <rFont val="Tahoma"/>
            <family val="0"/>
          </rPr>
          <t>Sample autocorrelations beginning Jan 1945</t>
        </r>
      </text>
    </comment>
    <comment ref="L168" authorId="0">
      <text>
        <r>
          <rPr>
            <b/>
            <sz val="8"/>
            <rFont val="Tahoma"/>
            <family val="0"/>
          </rPr>
          <t>Sample autocorrelations beginning Jan 1945</t>
        </r>
      </text>
    </comment>
    <comment ref="F170" authorId="0">
      <text>
        <r>
          <rPr>
            <b/>
            <sz val="8"/>
            <rFont val="Tahoma"/>
            <family val="0"/>
          </rPr>
          <t>Sample autocorrelations for three separate periods</t>
        </r>
      </text>
    </comment>
  </commentList>
</comments>
</file>

<file path=xl/comments7.xml><?xml version="1.0" encoding="utf-8"?>
<comments xmlns="http://schemas.openxmlformats.org/spreadsheetml/2006/main">
  <authors>
    <author>Sholom Feldblum</author>
    <author>n0012690</author>
  </authors>
  <commentList>
    <comment ref="H3" authorId="0">
      <text>
        <r>
          <rPr>
            <b/>
            <sz val="8"/>
            <rFont val="Tahoma"/>
            <family val="0"/>
          </rPr>
          <t>seasonally adjusted</t>
        </r>
      </text>
    </comment>
    <comment ref="G3" authorId="0">
      <text>
        <r>
          <rPr>
            <b/>
            <sz val="8"/>
            <rFont val="Tahoma"/>
            <family val="0"/>
          </rPr>
          <t>not seasonally adjusted</t>
        </r>
      </text>
    </comment>
    <comment ref="I3" authorId="1">
      <text>
        <r>
          <rPr>
            <b/>
            <sz val="8"/>
            <rFont val="Tahoma"/>
            <family val="0"/>
          </rPr>
          <t>The inflation rate is the change in the CPI.</t>
        </r>
      </text>
    </comment>
    <comment ref="J3" authorId="1">
      <text>
        <r>
          <rPr>
            <b/>
            <sz val="8"/>
            <rFont val="Tahoma"/>
            <family val="0"/>
          </rPr>
          <t>The real interest rate is the nominal interest rate divided by the inflation rate. We annualize the monthly inflation rate by raising to a power of 12.</t>
        </r>
      </text>
    </comment>
  </commentList>
</comments>
</file>

<file path=xl/sharedStrings.xml><?xml version="1.0" encoding="utf-8"?>
<sst xmlns="http://schemas.openxmlformats.org/spreadsheetml/2006/main" count="30" uniqueCount="17">
  <si>
    <t>3-month Treasury Bills - Auction Average</t>
  </si>
  <si>
    <t>Interest Rate</t>
  </si>
  <si>
    <t>Sample</t>
  </si>
  <si>
    <t>autocorr</t>
  </si>
  <si>
    <t>First</t>
  </si>
  <si>
    <t>Difference</t>
  </si>
  <si>
    <t>Acorrs</t>
  </si>
  <si>
    <t>Differences</t>
  </si>
  <si>
    <t>of First</t>
  </si>
  <si>
    <t>CPI</t>
  </si>
  <si>
    <t>Inflation</t>
  </si>
  <si>
    <t>real interest rate</t>
  </si>
  <si>
    <t>Acorrelation</t>
  </si>
  <si>
    <t>First Diff of</t>
  </si>
  <si>
    <t>Real interest rates</t>
  </si>
  <si>
    <t>Sample Autocorr</t>
  </si>
  <si>
    <t>of First Differences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</si>
</sst>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yyyy"/>
    <numFmt numFmtId="166" formatCode="0.0000"/>
  </numFmts>
  <fonts count="43">
    <font>
      <sz val="10"/>
      <name val="Arial"/>
      <family val="0"/>
    </font>
    <font>
      <sz val="8"/>
      <name val="Arial"/>
      <family val="0"/>
    </font>
    <font>
      <b/>
      <sz val="8"/>
      <name val="Tahoma"/>
      <family val="0"/>
    </font>
    <font>
      <b/>
      <sz val="10"/>
      <name val="Arial"/>
      <family val="2"/>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b/>
      <sz val="12"/>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
    <xf numFmtId="0" fontId="0" fillId="0" borderId="0" xfId="0" applyAlignment="1">
      <alignment/>
    </xf>
    <xf numFmtId="164" fontId="0" fillId="0" borderId="0" xfId="0" applyNumberFormat="1" applyAlignment="1">
      <alignment/>
    </xf>
    <xf numFmtId="166" fontId="0" fillId="0" borderId="0" xfId="0" applyNumberFormat="1" applyAlignment="1">
      <alignment/>
    </xf>
    <xf numFmtId="164" fontId="3"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Correlogram: Three Month Treasury Bills
Jan 1945 - June 2000</a:t>
            </a:r>
          </a:p>
        </c:rich>
      </c:tx>
      <c:layout>
        <c:manualLayout>
          <c:xMode val="factor"/>
          <c:yMode val="factor"/>
          <c:x val="0.001"/>
          <c:y val="0"/>
        </c:manualLayout>
      </c:layout>
      <c:spPr>
        <a:noFill/>
        <a:ln>
          <a:noFill/>
        </a:ln>
      </c:spPr>
    </c:title>
    <c:plotArea>
      <c:layout>
        <c:manualLayout>
          <c:xMode val="edge"/>
          <c:yMode val="edge"/>
          <c:x val="0.0375"/>
          <c:y val="0.13875"/>
          <c:w val="0.9515"/>
          <c:h val="0.80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'Three monthTr Bill'!$J$172:$J$834</c:f>
              <c:numCache>
                <c:ptCount val="663"/>
                <c:pt idx="0">
                  <c:v>2370.122760430593</c:v>
                </c:pt>
                <c:pt idx="1">
                  <c:v>2758.2103469505773</c:v>
                </c:pt>
                <c:pt idx="2">
                  <c:v>3144.3304457061818</c:v>
                </c:pt>
                <c:pt idx="3">
                  <c:v>3528.4880566663123</c:v>
                </c:pt>
                <c:pt idx="4">
                  <c:v>3910.6881797998744</c:v>
                </c:pt>
                <c:pt idx="5">
                  <c:v>4290.9358150757735</c:v>
                </c:pt>
                <c:pt idx="6">
                  <c:v>4669.235962462916</c:v>
                </c:pt>
                <c:pt idx="7">
                  <c:v>5045.5936219302075</c:v>
                </c:pt>
                <c:pt idx="8">
                  <c:v>5420.013793446553</c:v>
                </c:pt>
                <c:pt idx="9">
                  <c:v>5792.501476980859</c:v>
                </c:pt>
                <c:pt idx="10">
                  <c:v>6163.06167250203</c:v>
                </c:pt>
                <c:pt idx="11">
                  <c:v>6531.6993799789725</c:v>
                </c:pt>
                <c:pt idx="12">
                  <c:v>6898.419599380592</c:v>
                </c:pt>
                <c:pt idx="13">
                  <c:v>7263.227330675795</c:v>
                </c:pt>
                <c:pt idx="14">
                  <c:v>7626.127573833486</c:v>
                </c:pt>
                <c:pt idx="15">
                  <c:v>7987.125328822571</c:v>
                </c:pt>
                <c:pt idx="16">
                  <c:v>8346.225595611955</c:v>
                </c:pt>
                <c:pt idx="17">
                  <c:v>8703.433374170545</c:v>
                </c:pt>
                <c:pt idx="18">
                  <c:v>9058.753664467245</c:v>
                </c:pt>
                <c:pt idx="19">
                  <c:v>9412.191466470964</c:v>
                </c:pt>
                <c:pt idx="20">
                  <c:v>9763.751780150604</c:v>
                </c:pt>
                <c:pt idx="21">
                  <c:v>10113.439605475072</c:v>
                </c:pt>
                <c:pt idx="22">
                  <c:v>10461.259942413273</c:v>
                </c:pt>
                <c:pt idx="23">
                  <c:v>10807.217790934114</c:v>
                </c:pt>
                <c:pt idx="24">
                  <c:v>11151.318151006499</c:v>
                </c:pt>
                <c:pt idx="25">
                  <c:v>11493.566022599336</c:v>
                </c:pt>
                <c:pt idx="26">
                  <c:v>11833.966405681529</c:v>
                </c:pt>
                <c:pt idx="27">
                  <c:v>12172.524300221985</c:v>
                </c:pt>
                <c:pt idx="28">
                  <c:v>12509.244706189607</c:v>
                </c:pt>
                <c:pt idx="29">
                  <c:v>12844.132623553303</c:v>
                </c:pt>
                <c:pt idx="30">
                  <c:v>13177.193052281978</c:v>
                </c:pt>
                <c:pt idx="31">
                  <c:v>13508.430992344538</c:v>
                </c:pt>
                <c:pt idx="32">
                  <c:v>13837.851443709887</c:v>
                </c:pt>
                <c:pt idx="33">
                  <c:v>14165.459406346934</c:v>
                </c:pt>
                <c:pt idx="34">
                  <c:v>14491.259880224581</c:v>
                </c:pt>
                <c:pt idx="35">
                  <c:v>14815.257865311736</c:v>
                </c:pt>
                <c:pt idx="36">
                  <c:v>15137.458361577304</c:v>
                </c:pt>
                <c:pt idx="37">
                  <c:v>15457.866368990191</c:v>
                </c:pt>
                <c:pt idx="38">
                  <c:v>15776.486887519302</c:v>
                </c:pt>
                <c:pt idx="39">
                  <c:v>16093.324917133545</c:v>
                </c:pt>
                <c:pt idx="40">
                  <c:v>16408.38545780182</c:v>
                </c:pt>
                <c:pt idx="41">
                  <c:v>16721.67350949304</c:v>
                </c:pt>
                <c:pt idx="42">
                  <c:v>17033.194072176106</c:v>
                </c:pt>
                <c:pt idx="43">
                  <c:v>17342.952145819923</c:v>
                </c:pt>
                <c:pt idx="44">
                  <c:v>17650.9527303934</c:v>
                </c:pt>
                <c:pt idx="45">
                  <c:v>17957.200825865442</c:v>
                </c:pt>
                <c:pt idx="46">
                  <c:v>18261.70143220495</c:v>
                </c:pt>
                <c:pt idx="47">
                  <c:v>18564.459549380837</c:v>
                </c:pt>
                <c:pt idx="48">
                  <c:v>18865.480177362006</c:v>
                </c:pt>
                <c:pt idx="49">
                  <c:v>19164.76831611736</c:v>
                </c:pt>
                <c:pt idx="50">
                  <c:v>19462.328965615805</c:v>
                </c:pt>
                <c:pt idx="51">
                  <c:v>19758.16712582625</c:v>
                </c:pt>
                <c:pt idx="52">
                  <c:v>20052.2877967176</c:v>
                </c:pt>
                <c:pt idx="53">
                  <c:v>20344.695978258755</c:v>
                </c:pt>
                <c:pt idx="54">
                  <c:v>20635.396670418628</c:v>
                </c:pt>
                <c:pt idx="55">
                  <c:v>20924.39487316612</c:v>
                </c:pt>
                <c:pt idx="56">
                  <c:v>21211.695586470138</c:v>
                </c:pt>
                <c:pt idx="57">
                  <c:v>21497.30381029959</c:v>
                </c:pt>
                <c:pt idx="58">
                  <c:v>21781.224544623376</c:v>
                </c:pt>
                <c:pt idx="59">
                  <c:v>22063.46278941041</c:v>
                </c:pt>
                <c:pt idx="60">
                  <c:v>22344.02354462959</c:v>
                </c:pt>
                <c:pt idx="61">
                  <c:v>22622.911810249825</c:v>
                </c:pt>
                <c:pt idx="62">
                  <c:v>22900.132586240023</c:v>
                </c:pt>
                <c:pt idx="63">
                  <c:v>23175.690872569085</c:v>
                </c:pt>
                <c:pt idx="64">
                  <c:v>23449.591669205918</c:v>
                </c:pt>
                <c:pt idx="65">
                  <c:v>23721.83997611943</c:v>
                </c:pt>
                <c:pt idx="66">
                  <c:v>23992.440793278525</c:v>
                </c:pt>
                <c:pt idx="67">
                  <c:v>24261.39912065211</c:v>
                </c:pt>
                <c:pt idx="68">
                  <c:v>24528.719958209087</c:v>
                </c:pt>
                <c:pt idx="69">
                  <c:v>24794.408305918365</c:v>
                </c:pt>
                <c:pt idx="70">
                  <c:v>25058.469163748847</c:v>
                </c:pt>
                <c:pt idx="71">
                  <c:v>25320.90753166944</c:v>
                </c:pt>
                <c:pt idx="72">
                  <c:v>25581.72840964905</c:v>
                </c:pt>
                <c:pt idx="73">
                  <c:v>25840.936797656585</c:v>
                </c:pt>
                <c:pt idx="74">
                  <c:v>26098.537695660947</c:v>
                </c:pt>
                <c:pt idx="75">
                  <c:v>26354.536103631042</c:v>
                </c:pt>
                <c:pt idx="76">
                  <c:v>26608.937021535778</c:v>
                </c:pt>
                <c:pt idx="77">
                  <c:v>26861.74544934406</c:v>
                </c:pt>
                <c:pt idx="78">
                  <c:v>27112.966387024793</c:v>
                </c:pt>
                <c:pt idx="79">
                  <c:v>27362.604834546884</c:v>
                </c:pt>
                <c:pt idx="80">
                  <c:v>27610.665791879237</c:v>
                </c:pt>
                <c:pt idx="81">
                  <c:v>27857.15425899076</c:v>
                </c:pt>
                <c:pt idx="82">
                  <c:v>28102.075235850352</c:v>
                </c:pt>
                <c:pt idx="83">
                  <c:v>28345.433722426926</c:v>
                </c:pt>
                <c:pt idx="84">
                  <c:v>28587.234718689382</c:v>
                </c:pt>
                <c:pt idx="85">
                  <c:v>28827.483224606633</c:v>
                </c:pt>
                <c:pt idx="86">
                  <c:v>29066.184240147577</c:v>
                </c:pt>
                <c:pt idx="87">
                  <c:v>29303.342765281122</c:v>
                </c:pt>
                <c:pt idx="88">
                  <c:v>29538.963799976176</c:v>
                </c:pt>
                <c:pt idx="89">
                  <c:v>29773.052344201646</c:v>
                </c:pt>
                <c:pt idx="90">
                  <c:v>30005.613397926434</c:v>
                </c:pt>
                <c:pt idx="91">
                  <c:v>30236.651961119445</c:v>
                </c:pt>
                <c:pt idx="92">
                  <c:v>30466.173033749586</c:v>
                </c:pt>
                <c:pt idx="93">
                  <c:v>30694.181615785765</c:v>
                </c:pt>
                <c:pt idx="94">
                  <c:v>30920.682707196884</c:v>
                </c:pt>
                <c:pt idx="95">
                  <c:v>31145.68130795185</c:v>
                </c:pt>
                <c:pt idx="96">
                  <c:v>31369.182418019573</c:v>
                </c:pt>
                <c:pt idx="97">
                  <c:v>31591.191037368953</c:v>
                </c:pt>
                <c:pt idx="98">
                  <c:v>31811.712165968896</c:v>
                </c:pt>
                <c:pt idx="99">
                  <c:v>32030.75080378831</c:v>
                </c:pt>
                <c:pt idx="100">
                  <c:v>32248.3119507961</c:v>
                </c:pt>
                <c:pt idx="101">
                  <c:v>32464.400606961168</c:v>
                </c:pt>
                <c:pt idx="102">
                  <c:v>32679.021772252425</c:v>
                </c:pt>
                <c:pt idx="103">
                  <c:v>32892.18044663878</c:v>
                </c:pt>
                <c:pt idx="104">
                  <c:v>33103.88163008913</c:v>
                </c:pt>
                <c:pt idx="105">
                  <c:v>33314.13032257238</c:v>
                </c:pt>
                <c:pt idx="106">
                  <c:v>33522.93152405744</c:v>
                </c:pt>
                <c:pt idx="107">
                  <c:v>33730.290234513224</c:v>
                </c:pt>
                <c:pt idx="108">
                  <c:v>33936.211453908625</c:v>
                </c:pt>
                <c:pt idx="109">
                  <c:v>34140.70018221255</c:v>
                </c:pt>
                <c:pt idx="110">
                  <c:v>34343.76141939391</c:v>
                </c:pt>
                <c:pt idx="111">
                  <c:v>34545.400165421604</c:v>
                </c:pt>
                <c:pt idx="112">
                  <c:v>34745.62142026454</c:v>
                </c:pt>
                <c:pt idx="113">
                  <c:v>34944.43018389163</c:v>
                </c:pt>
                <c:pt idx="114">
                  <c:v>35141.83145627177</c:v>
                </c:pt>
                <c:pt idx="115">
                  <c:v>35337.83023737388</c:v>
                </c:pt>
                <c:pt idx="116">
                  <c:v>35532.431527166846</c:v>
                </c:pt>
                <c:pt idx="117">
                  <c:v>35725.64032561959</c:v>
                </c:pt>
                <c:pt idx="118">
                  <c:v>35917.461632701015</c:v>
                </c:pt>
                <c:pt idx="119">
                  <c:v>36107.90044838002</c:v>
                </c:pt>
                <c:pt idx="120">
                  <c:v>36296.96177262552</c:v>
                </c:pt>
                <c:pt idx="121">
                  <c:v>36484.65060540641</c:v>
                </c:pt>
                <c:pt idx="122">
                  <c:v>36670.9719466916</c:v>
                </c:pt>
                <c:pt idx="123">
                  <c:v>36855.93079645</c:v>
                </c:pt>
                <c:pt idx="124">
                  <c:v>37039.5321546505</c:v>
                </c:pt>
                <c:pt idx="125">
                  <c:v>37221.781021262024</c:v>
                </c:pt>
                <c:pt idx="126">
                  <c:v>37402.68239625347</c:v>
                </c:pt>
                <c:pt idx="127">
                  <c:v>37582.24127959374</c:v>
                </c:pt>
                <c:pt idx="128">
                  <c:v>37760.46267125175</c:v>
                </c:pt>
                <c:pt idx="129">
                  <c:v>37937.3515711964</c:v>
                </c:pt>
                <c:pt idx="130">
                  <c:v>38112.9129793966</c:v>
                </c:pt>
                <c:pt idx="131">
                  <c:v>38287.15189582125</c:v>
                </c:pt>
                <c:pt idx="132">
                  <c:v>38460.07332043925</c:v>
                </c:pt>
                <c:pt idx="133">
                  <c:v>38631.68225321952</c:v>
                </c:pt>
                <c:pt idx="134">
                  <c:v>38801.983694130955</c:v>
                </c:pt>
                <c:pt idx="135">
                  <c:v>38970.982643142466</c:v>
                </c:pt>
                <c:pt idx="136">
                  <c:v>39138.684100222956</c:v>
                </c:pt>
                <c:pt idx="137">
                  <c:v>39305.09306534133</c:v>
                </c:pt>
                <c:pt idx="138">
                  <c:v>39470.2145384665</c:v>
                </c:pt>
                <c:pt idx="139">
                  <c:v>39634.05351956736</c:v>
                </c:pt>
                <c:pt idx="140">
                  <c:v>39796.615008612825</c:v>
                </c:pt>
                <c:pt idx="141">
                  <c:v>39957.9040055718</c:v>
                </c:pt>
                <c:pt idx="142">
                  <c:v>40117.92551041319</c:v>
                </c:pt>
                <c:pt idx="143">
                  <c:v>40276.68452310589</c:v>
                </c:pt>
                <c:pt idx="144">
                  <c:v>40434.18604361882</c:v>
                </c:pt>
                <c:pt idx="145">
                  <c:v>40590.43507192088</c:v>
                </c:pt>
                <c:pt idx="146">
                  <c:v>40745.43660798098</c:v>
                </c:pt>
                <c:pt idx="147">
                  <c:v>40899.195651768016</c:v>
                </c:pt>
                <c:pt idx="148">
                  <c:v>41051.717203250904</c:v>
                </c:pt>
                <c:pt idx="149">
                  <c:v>41203.00626239854</c:v>
                </c:pt>
                <c:pt idx="150">
                  <c:v>41353.06782917984</c:v>
                </c:pt>
                <c:pt idx="151">
                  <c:v>41501.9069035637</c:v>
                </c:pt>
                <c:pt idx="152">
                  <c:v>41649.52848551903</c:v>
                </c:pt>
                <c:pt idx="153">
                  <c:v>41795.937575014745</c:v>
                </c:pt>
                <c:pt idx="154">
                  <c:v>41941.139172019735</c:v>
                </c:pt>
                <c:pt idx="155">
                  <c:v>42085.13827650291</c:v>
                </c:pt>
                <c:pt idx="156">
                  <c:v>42227.93988843318</c:v>
                </c:pt>
                <c:pt idx="157">
                  <c:v>42369.54900777945</c:v>
                </c:pt>
                <c:pt idx="158">
                  <c:v>42509.97063451063</c:v>
                </c:pt>
                <c:pt idx="159">
                  <c:v>42649.20976859562</c:v>
                </c:pt>
                <c:pt idx="160">
                  <c:v>42787.27141000332</c:v>
                </c:pt>
                <c:pt idx="161">
                  <c:v>42924.16055870264</c:v>
                </c:pt>
                <c:pt idx="162">
                  <c:v>43059.882214662495</c:v>
                </c:pt>
                <c:pt idx="163">
                  <c:v>43194.44137785178</c:v>
                </c:pt>
                <c:pt idx="164">
                  <c:v>43327.843048239396</c:v>
                </c:pt>
                <c:pt idx="165">
                  <c:v>43460.09222579426</c:v>
                </c:pt>
                <c:pt idx="166">
                  <c:v>43591.19391048527</c:v>
                </c:pt>
                <c:pt idx="167">
                  <c:v>43721.15310228134</c:v>
                </c:pt>
                <c:pt idx="168">
                  <c:v>43849.97480115137</c:v>
                </c:pt>
                <c:pt idx="169">
                  <c:v>43977.66400706427</c:v>
                </c:pt>
                <c:pt idx="170">
                  <c:v>44104.225719988935</c:v>
                </c:pt>
                <c:pt idx="171">
                  <c:v>44229.66493989428</c:v>
                </c:pt>
                <c:pt idx="172">
                  <c:v>44353.98666674922</c:v>
                </c:pt>
                <c:pt idx="173">
                  <c:v>44477.19590052264</c:v>
                </c:pt>
                <c:pt idx="174">
                  <c:v>44599.29764118345</c:v>
                </c:pt>
                <c:pt idx="175">
                  <c:v>44720.29688870057</c:v>
                </c:pt>
                <c:pt idx="176">
                  <c:v>44840.198643042895</c:v>
                </c:pt>
                <c:pt idx="177">
                  <c:v>44959.00790417933</c:v>
                </c:pt>
                <c:pt idx="178">
                  <c:v>45076.72967207878</c:v>
                </c:pt>
                <c:pt idx="179">
                  <c:v>45193.36894671015</c:v>
                </c:pt>
                <c:pt idx="180">
                  <c:v>45308.93072804235</c:v>
                </c:pt>
                <c:pt idx="181">
                  <c:v>45423.42001604429</c:v>
                </c:pt>
                <c:pt idx="182">
                  <c:v>45536.84181068487</c:v>
                </c:pt>
                <c:pt idx="183">
                  <c:v>45649.201111933</c:v>
                </c:pt>
                <c:pt idx="184">
                  <c:v>45760.50291975758</c:v>
                </c:pt>
                <c:pt idx="185">
                  <c:v>45870.75223412751</c:v>
                </c:pt>
                <c:pt idx="186">
                  <c:v>45979.95405501171</c:v>
                </c:pt>
                <c:pt idx="187">
                  <c:v>46088.11338237907</c:v>
                </c:pt>
                <c:pt idx="188">
                  <c:v>46195.23521619851</c:v>
                </c:pt>
                <c:pt idx="189">
                  <c:v>46301.32455643893</c:v>
                </c:pt>
                <c:pt idx="190">
                  <c:v>46406.386403069235</c:v>
                </c:pt>
                <c:pt idx="191">
                  <c:v>46510.425756058336</c:v>
                </c:pt>
                <c:pt idx="192">
                  <c:v>46613.44761537513</c:v>
                </c:pt>
                <c:pt idx="193">
                  <c:v>46715.45698098853</c:v>
                </c:pt>
                <c:pt idx="194">
                  <c:v>46816.458852867436</c:v>
                </c:pt>
                <c:pt idx="195">
                  <c:v>46916.45823098075</c:v>
                </c:pt>
                <c:pt idx="196">
                  <c:v>47015.46011529739</c:v>
                </c:pt>
                <c:pt idx="197">
                  <c:v>47113.469505786255</c:v>
                </c:pt>
                <c:pt idx="198">
                  <c:v>47210.49140241625</c:v>
                </c:pt>
                <c:pt idx="199">
                  <c:v>47306.53080515628</c:v>
                </c:pt>
                <c:pt idx="200">
                  <c:v>47401.59271397525</c:v>
                </c:pt>
                <c:pt idx="201">
                  <c:v>47495.682128842076</c:v>
                </c:pt>
                <c:pt idx="202">
                  <c:v>47588.80404972565</c:v>
                </c:pt>
                <c:pt idx="203">
                  <c:v>47680.96347659489</c:v>
                </c:pt>
                <c:pt idx="204">
                  <c:v>47772.16540941869</c:v>
                </c:pt>
                <c:pt idx="205">
                  <c:v>47862.41484816596</c:v>
                </c:pt>
                <c:pt idx="206">
                  <c:v>47951.71679280561</c:v>
                </c:pt>
                <c:pt idx="207">
                  <c:v>48040.07624330654</c:v>
                </c:pt>
                <c:pt idx="208">
                  <c:v>48127.49819963766</c:v>
                </c:pt>
                <c:pt idx="209">
                  <c:v>48213.98766176787</c:v>
                </c:pt>
                <c:pt idx="210">
                  <c:v>48299.54962966608</c:v>
                </c:pt>
                <c:pt idx="211">
                  <c:v>48384.18910330119</c:v>
                </c:pt>
                <c:pt idx="212">
                  <c:v>48467.91108264212</c:v>
                </c:pt>
                <c:pt idx="213">
                  <c:v>48550.72056765776</c:v>
                </c:pt>
                <c:pt idx="214">
                  <c:v>48632.622558317016</c:v>
                </c:pt>
                <c:pt idx="215">
                  <c:v>48713.622054588806</c:v>
                </c:pt>
                <c:pt idx="216">
                  <c:v>48793.72405644203</c:v>
                </c:pt>
                <c:pt idx="217">
                  <c:v>48872.93356384559</c:v>
                </c:pt>
                <c:pt idx="218">
                  <c:v>48951.255576768395</c:v>
                </c:pt>
                <c:pt idx="219">
                  <c:v>49028.69509517935</c:v>
                </c:pt>
                <c:pt idx="220">
                  <c:v>49105.25711904736</c:v>
                </c:pt>
                <c:pt idx="221">
                  <c:v>49180.946648341334</c:v>
                </c:pt>
                <c:pt idx="222">
                  <c:v>49255.768683030175</c:v>
                </c:pt>
                <c:pt idx="223">
                  <c:v>49329.728223082784</c:v>
                </c:pt>
                <c:pt idx="224">
                  <c:v>49402.830268468075</c:v>
                </c:pt>
                <c:pt idx="225">
                  <c:v>49475.07981915495</c:v>
                </c:pt>
                <c:pt idx="226">
                  <c:v>49546.48187511231</c:v>
                </c:pt>
                <c:pt idx="227">
                  <c:v>49617.04143630907</c:v>
                </c:pt>
                <c:pt idx="228">
                  <c:v>49686.76350271413</c:v>
                </c:pt>
                <c:pt idx="229">
                  <c:v>49755.653074296395</c:v>
                </c:pt>
                <c:pt idx="230">
                  <c:v>49823.71515102477</c:v>
                </c:pt>
                <c:pt idx="231">
                  <c:v>49890.954732868166</c:v>
                </c:pt>
                <c:pt idx="232">
                  <c:v>49957.376819795485</c:v>
                </c:pt>
                <c:pt idx="233">
                  <c:v>50022.98641177564</c:v>
                </c:pt>
                <c:pt idx="234">
                  <c:v>50087.78850877752</c:v>
                </c:pt>
                <c:pt idx="235">
                  <c:v>50151.788110770045</c:v>
                </c:pt>
                <c:pt idx="236">
                  <c:v>50214.990217722116</c:v>
                </c:pt>
                <c:pt idx="237">
                  <c:v>50277.39982960264</c:v>
                </c:pt>
                <c:pt idx="238">
                  <c:v>50339.02194638052</c:v>
                </c:pt>
                <c:pt idx="239">
                  <c:v>50399.861568024666</c:v>
                </c:pt>
                <c:pt idx="240">
                  <c:v>50459.92369450398</c:v>
                </c:pt>
                <c:pt idx="241">
                  <c:v>50519.213325787365</c:v>
                </c:pt>
                <c:pt idx="242">
                  <c:v>50577.73546184373</c:v>
                </c:pt>
                <c:pt idx="243">
                  <c:v>50635.49510264199</c:v>
                </c:pt>
                <c:pt idx="244">
                  <c:v>50692.497248151034</c:v>
                </c:pt>
                <c:pt idx="245">
                  <c:v>50748.74689833978</c:v>
                </c:pt>
                <c:pt idx="246">
                  <c:v>50804.249053177125</c:v>
                </c:pt>
                <c:pt idx="247">
                  <c:v>50859.00871263198</c:v>
                </c:pt>
                <c:pt idx="248">
                  <c:v>50913.03087667325</c:v>
                </c:pt>
                <c:pt idx="249">
                  <c:v>50966.32054526984</c:v>
                </c:pt>
                <c:pt idx="250">
                  <c:v>51018.882718390654</c:v>
                </c:pt>
                <c:pt idx="251">
                  <c:v>51070.722396004596</c:v>
                </c:pt>
                <c:pt idx="252">
                  <c:v>51121.84457808058</c:v>
                </c:pt>
                <c:pt idx="253">
                  <c:v>51172.2542645875</c:v>
                </c:pt>
                <c:pt idx="254">
                  <c:v>51221.95645549427</c:v>
                </c:pt>
                <c:pt idx="255">
                  <c:v>51270.956150769794</c:v>
                </c:pt>
                <c:pt idx="256">
                  <c:v>51319.25835038298</c:v>
                </c:pt>
                <c:pt idx="257">
                  <c:v>51366.86805430273</c:v>
                </c:pt>
                <c:pt idx="258">
                  <c:v>51413.790262497954</c:v>
                </c:pt>
                <c:pt idx="259">
                  <c:v>51460.029974937555</c:v>
                </c:pt>
                <c:pt idx="260">
                  <c:v>51505.59219159044</c:v>
                </c:pt>
                <c:pt idx="261">
                  <c:v>51550.48191242551</c:v>
                </c:pt>
                <c:pt idx="262">
                  <c:v>51594.704137411674</c:v>
                </c:pt>
                <c:pt idx="263">
                  <c:v>51638.26386651784</c:v>
                </c:pt>
                <c:pt idx="264">
                  <c:v>51681.16609971291</c:v>
                </c:pt>
                <c:pt idx="265">
                  <c:v>51723.41583696578</c:v>
                </c:pt>
                <c:pt idx="266">
                  <c:v>51765.018078245375</c:v>
                </c:pt>
                <c:pt idx="267">
                  <c:v>51805.97782352059</c:v>
                </c:pt>
                <c:pt idx="268">
                  <c:v>51846.30007276033</c:v>
                </c:pt>
                <c:pt idx="269">
                  <c:v>51885.9898259335</c:v>
                </c:pt>
                <c:pt idx="270">
                  <c:v>51925.05208300902</c:v>
                </c:pt>
                <c:pt idx="271">
                  <c:v>51963.49184395578</c:v>
                </c:pt>
                <c:pt idx="272">
                  <c:v>52001.31410874269</c:v>
                </c:pt>
                <c:pt idx="273">
                  <c:v>52038.52387733866</c:v>
                </c:pt>
                <c:pt idx="274">
                  <c:v>52075.12614971259</c:v>
                </c:pt>
                <c:pt idx="275">
                  <c:v>52111.12592583338</c:v>
                </c:pt>
                <c:pt idx="276">
                  <c:v>52146.52820566995</c:v>
                </c:pt>
                <c:pt idx="277">
                  <c:v>52181.3379891912</c:v>
                </c:pt>
                <c:pt idx="278">
                  <c:v>52215.56027636603</c:v>
                </c:pt>
                <c:pt idx="279">
                  <c:v>52249.20006716335</c:v>
                </c:pt>
                <c:pt idx="280">
                  <c:v>52282.262361552064</c:v>
                </c:pt>
                <c:pt idx="281">
                  <c:v>52314.752159501084</c:v>
                </c:pt>
                <c:pt idx="282">
                  <c:v>52346.67446097931</c:v>
                </c:pt>
                <c:pt idx="283">
                  <c:v>52378.03426595565</c:v>
                </c:pt>
                <c:pt idx="284">
                  <c:v>52408.83657439901</c:v>
                </c:pt>
                <c:pt idx="285">
                  <c:v>52439.086386278286</c:v>
                </c:pt>
                <c:pt idx="286">
                  <c:v>52468.78870156239</c:v>
                </c:pt>
                <c:pt idx="287">
                  <c:v>52497.948520220234</c:v>
                </c:pt>
                <c:pt idx="288">
                  <c:v>52526.57084222072</c:v>
                </c:pt>
                <c:pt idx="289">
                  <c:v>52554.66066753275</c:v>
                </c:pt>
                <c:pt idx="290">
                  <c:v>52582.22299612523</c:v>
                </c:pt>
                <c:pt idx="291">
                  <c:v>52609.262827967075</c:v>
                </c:pt>
                <c:pt idx="292">
                  <c:v>52635.78516302718</c:v>
                </c:pt>
                <c:pt idx="293">
                  <c:v>52661.795001274455</c:v>
                </c:pt>
                <c:pt idx="294">
                  <c:v>52687.297342677804</c:v>
                </c:pt>
                <c:pt idx="295">
                  <c:v>52712.29718720613</c:v>
                </c:pt>
                <c:pt idx="296">
                  <c:v>52736.79953482835</c:v>
                </c:pt>
                <c:pt idx="297">
                  <c:v>52760.80938551336</c:v>
                </c:pt>
                <c:pt idx="298">
                  <c:v>52784.33173923007</c:v>
                </c:pt>
                <c:pt idx="299">
                  <c:v>52807.37159594738</c:v>
                </c:pt>
                <c:pt idx="300">
                  <c:v>52829.933955634195</c:v>
                </c:pt>
                <c:pt idx="301">
                  <c:v>52852.023818259426</c:v>
                </c:pt>
                <c:pt idx="302">
                  <c:v>52873.64618379198</c:v>
                </c:pt>
                <c:pt idx="303">
                  <c:v>52894.80605220076</c:v>
                </c:pt>
                <c:pt idx="304">
                  <c:v>52915.50842345467</c:v>
                </c:pt>
                <c:pt idx="305">
                  <c:v>52935.75829752261</c:v>
                </c:pt>
                <c:pt idx="306">
                  <c:v>52955.560674373504</c:v>
                </c:pt>
                <c:pt idx="307">
                  <c:v>52974.92055397624</c:v>
                </c:pt>
                <c:pt idx="308">
                  <c:v>52993.842936299734</c:v>
                </c:pt>
                <c:pt idx="309">
                  <c:v>53012.332821312884</c:v>
                </c:pt>
                <c:pt idx="310">
                  <c:v>53030.395208984606</c:v>
                </c:pt>
                <c:pt idx="311">
                  <c:v>53048.0350992838</c:v>
                </c:pt>
                <c:pt idx="312">
                  <c:v>53065.257492179364</c:v>
                </c:pt>
                <c:pt idx="313">
                  <c:v>53082.067387640214</c:v>
                </c:pt>
                <c:pt idx="314">
                  <c:v>53098.46978563525</c:v>
                </c:pt>
                <c:pt idx="315">
                  <c:v>53114.46968613338</c:v>
                </c:pt>
                <c:pt idx="316">
                  <c:v>53130.07208910351</c:v>
                </c:pt>
                <c:pt idx="317">
                  <c:v>53145.281994514546</c:v>
                </c:pt>
                <c:pt idx="318">
                  <c:v>53160.10440233539</c:v>
                </c:pt>
                <c:pt idx="319">
                  <c:v>53174.544312534956</c:v>
                </c:pt>
                <c:pt idx="320">
                  <c:v>53188.60672508214</c:v>
                </c:pt>
                <c:pt idx="321">
                  <c:v>53202.29663994586</c:v>
                </c:pt>
                <c:pt idx="322">
                  <c:v>53215.619057095006</c:v>
                </c:pt>
                <c:pt idx="323">
                  <c:v>53228.578976498495</c:v>
                </c:pt>
                <c:pt idx="324">
                  <c:v>53241.18139812523</c:v>
                </c:pt>
                <c:pt idx="325">
                  <c:v>53253.43132194411</c:v>
                </c:pt>
                <c:pt idx="326">
                  <c:v>53265.33374792405</c:v>
                </c:pt>
                <c:pt idx="327">
                  <c:v>53276.89367603395</c:v>
                </c:pt>
                <c:pt idx="328">
                  <c:v>53288.11610624272</c:v>
                </c:pt>
                <c:pt idx="329">
                  <c:v>53299.00603851926</c:v>
                </c:pt>
                <c:pt idx="330">
                  <c:v>53309.568472832485</c:v>
                </c:pt>
                <c:pt idx="331">
                  <c:v>53319.80840915129</c:v>
                </c:pt>
                <c:pt idx="332">
                  <c:v>53329.73084744458</c:v>
                </c:pt>
                <c:pt idx="333">
                  <c:v>53339.34078768127</c:v>
                </c:pt>
                <c:pt idx="334">
                  <c:v>53348.64322983026</c:v>
                </c:pt>
                <c:pt idx="335">
                  <c:v>53357.64317386046</c:v>
                </c:pt>
                <c:pt idx="336">
                  <c:v>53366.34561974077</c:v>
                </c:pt>
                <c:pt idx="337">
                  <c:v>53374.7555674401</c:v>
                </c:pt>
                <c:pt idx="338">
                  <c:v>53382.87801692735</c:v>
                </c:pt>
                <c:pt idx="339">
                  <c:v>53390.71796817143</c:v>
                </c:pt>
                <c:pt idx="340">
                  <c:v>53398.28042114125</c:v>
                </c:pt>
                <c:pt idx="341">
                  <c:v>53405.57037580571</c:v>
                </c:pt>
                <c:pt idx="342">
                  <c:v>53412.59283213372</c:v>
                </c:pt>
                <c:pt idx="343">
                  <c:v>53419.35279009418</c:v>
                </c:pt>
                <c:pt idx="344">
                  <c:v>53425.85524965599</c:v>
                </c:pt>
                <c:pt idx="345">
                  <c:v>53432.105210788075</c:v>
                </c:pt>
                <c:pt idx="346">
                  <c:v>53438.10767345933</c:v>
                </c:pt>
                <c:pt idx="347">
                  <c:v>53443.86763763866</c:v>
                </c:pt>
                <c:pt idx="348">
                  <c:v>53449.390103294965</c:v>
                </c:pt>
                <c:pt idx="349">
                  <c:v>53454.68007039716</c:v>
                </c:pt>
                <c:pt idx="350">
                  <c:v>53459.74253891415</c:v>
                </c:pt>
                <c:pt idx="351">
                  <c:v>53464.582508814834</c:v>
                </c:pt>
                <c:pt idx="352">
                  <c:v>53469.20498006812</c:v>
                </c:pt>
                <c:pt idx="353">
                  <c:v>53473.614952642914</c:v>
                </c:pt>
                <c:pt idx="354">
                  <c:v>53477.817426508125</c:v>
                </c:pt>
                <c:pt idx="355">
                  <c:v>53481.81740163266</c:v>
                </c:pt>
                <c:pt idx="356">
                  <c:v>53485.61987798542</c:v>
                </c:pt>
                <c:pt idx="357">
                  <c:v>53489.229855535305</c:v>
                </c:pt>
                <c:pt idx="358">
                  <c:v>53492.65233425123</c:v>
                </c:pt>
                <c:pt idx="359">
                  <c:v>53495.8923141021</c:v>
                </c:pt>
                <c:pt idx="360">
                  <c:v>53498.95479505682</c:v>
                </c:pt>
                <c:pt idx="361">
                  <c:v>53501.8447770843</c:v>
                </c:pt>
                <c:pt idx="362">
                  <c:v>53504.56726015343</c:v>
                </c:pt>
                <c:pt idx="363">
                  <c:v>53507.12724423313</c:v>
                </c:pt>
                <c:pt idx="364">
                  <c:v>53509.529729292306</c:v>
                </c:pt>
                <c:pt idx="365">
                  <c:v>53511.779715299854</c:v>
                </c:pt>
                <c:pt idx="366">
                  <c:v>53513.88220222469</c:v>
                </c:pt>
                <c:pt idx="367">
                  <c:v>53515.84219003571</c:v>
                </c:pt>
                <c:pt idx="368">
                  <c:v>53517.664678701825</c:v>
                </c:pt>
                <c:pt idx="369">
                  <c:v>53519.35466819194</c:v>
                </c:pt>
                <c:pt idx="370">
                  <c:v>53520.917158474964</c:v>
                </c:pt>
                <c:pt idx="371">
                  <c:v>53522.3571495198</c:v>
                </c:pt>
                <c:pt idx="372">
                  <c:v>53523.67964129535</c:v>
                </c:pt>
                <c:pt idx="373">
                  <c:v>53524.88963377052</c:v>
                </c:pt>
                <c:pt idx="374">
                  <c:v>53525.99212691422</c:v>
                </c:pt>
                <c:pt idx="375">
                  <c:v>53526.99212069535</c:v>
                </c:pt>
                <c:pt idx="376">
                  <c:v>53527.89461508283</c:v>
                </c:pt>
                <c:pt idx="377">
                  <c:v>53528.70461004555</c:v>
                </c:pt>
                <c:pt idx="378">
                  <c:v>53529.427105552415</c:v>
                </c:pt>
                <c:pt idx="379">
                  <c:v>53530.06710157234</c:v>
                </c:pt>
                <c:pt idx="380">
                  <c:v>53530.62959807423</c:v>
                </c:pt>
                <c:pt idx="381">
                  <c:v>53531.11959502698</c:v>
                </c:pt>
                <c:pt idx="382">
                  <c:v>53531.54209239951</c:v>
                </c:pt>
                <c:pt idx="383">
                  <c:v>53531.90209016072</c:v>
                </c:pt>
                <c:pt idx="384">
                  <c:v>53532.204588279514</c:v>
                </c:pt>
                <c:pt idx="385">
                  <c:v>53532.454586724794</c:v>
                </c:pt>
                <c:pt idx="386">
                  <c:v>53532.65708546547</c:v>
                </c:pt>
                <c:pt idx="387">
                  <c:v>53532.81708447045</c:v>
                </c:pt>
                <c:pt idx="388">
                  <c:v>53532.93958370864</c:v>
                </c:pt>
                <c:pt idx="389">
                  <c:v>53533.02958314894</c:v>
                </c:pt>
                <c:pt idx="390">
                  <c:v>53533.09208276026</c:v>
                </c:pt>
                <c:pt idx="391">
                  <c:v>53533.1320825115</c:v>
                </c:pt>
                <c:pt idx="392">
                  <c:v>53533.15458237158</c:v>
                </c:pt>
                <c:pt idx="393">
                  <c:v>53533.16458230939</c:v>
                </c:pt>
                <c:pt idx="394">
                  <c:v>-0.34843315119740736</c:v>
                </c:pt>
                <c:pt idx="395">
                  <c:v>-0.34919750821260587</c:v>
                </c:pt>
                <c:pt idx="396">
                  <c:v>-0.3497399333984839</c:v>
                </c:pt>
                <c:pt idx="397">
                  <c:v>-0.3504175564008453</c:v>
                </c:pt>
                <c:pt idx="398">
                  <c:v>-0.3513261512613613</c:v>
                </c:pt>
                <c:pt idx="399">
                  <c:v>-0.3523668658136555</c:v>
                </c:pt>
                <c:pt idx="400">
                  <c:v>-0.3533204284410214</c:v>
                </c:pt>
                <c:pt idx="401">
                  <c:v>-0.3542324954520479</c:v>
                </c:pt>
                <c:pt idx="402">
                  <c:v>-0.35502810444051636</c:v>
                </c:pt>
                <c:pt idx="403">
                  <c:v>-0.35586000278968843</c:v>
                </c:pt>
                <c:pt idx="404">
                  <c:v>-0.3560428099221939</c:v>
                </c:pt>
                <c:pt idx="405">
                  <c:v>-0.3560330670200142</c:v>
                </c:pt>
                <c:pt idx="406">
                  <c:v>-0.35558713478479725</c:v>
                </c:pt>
                <c:pt idx="407">
                  <c:v>-0.3546898661058674</c:v>
                </c:pt>
                <c:pt idx="408">
                  <c:v>-0.35344158717322155</c:v>
                </c:pt>
                <c:pt idx="409">
                  <c:v>-0.3521135897715601</c:v>
                </c:pt>
                <c:pt idx="410">
                  <c:v>-0.3505618507139717</c:v>
                </c:pt>
                <c:pt idx="411">
                  <c:v>-0.3488962735138584</c:v>
                </c:pt>
                <c:pt idx="412">
                  <c:v>-0.3469425115414174</c:v>
                </c:pt>
                <c:pt idx="413">
                  <c:v>-0.34537447670227117</c:v>
                </c:pt>
                <c:pt idx="414">
                  <c:v>-0.3436422227244347</c:v>
                </c:pt>
                <c:pt idx="415">
                  <c:v>-0.3417007219050855</c:v>
                </c:pt>
                <c:pt idx="416">
                  <c:v>-0.33910681092362455</c:v>
                </c:pt>
                <c:pt idx="417">
                  <c:v>-0.3353912731549869</c:v>
                </c:pt>
                <c:pt idx="418">
                  <c:v>-0.33118703998542076</c:v>
                </c:pt>
                <c:pt idx="419">
                  <c:v>-0.326706445607711</c:v>
                </c:pt>
                <c:pt idx="420">
                  <c:v>-0.32215390821172</c:v>
                </c:pt>
                <c:pt idx="421">
                  <c:v>-0.316883009079167</c:v>
                </c:pt>
                <c:pt idx="422">
                  <c:v>-0.30962157356019154</c:v>
                </c:pt>
                <c:pt idx="423">
                  <c:v>-0.30350810780301046</c:v>
                </c:pt>
                <c:pt idx="424">
                  <c:v>-0.30085547045670313</c:v>
                </c:pt>
                <c:pt idx="425">
                  <c:v>-0.299789057292032</c:v>
                </c:pt>
                <c:pt idx="426">
                  <c:v>-0.2980271736014599</c:v>
                </c:pt>
                <c:pt idx="427">
                  <c:v>-0.29552921282302397</c:v>
                </c:pt>
                <c:pt idx="428">
                  <c:v>-0.29229886448221676</c:v>
                </c:pt>
                <c:pt idx="429">
                  <c:v>-0.28819508542643063</c:v>
                </c:pt>
                <c:pt idx="430">
                  <c:v>-0.2824406058618612</c:v>
                </c:pt>
                <c:pt idx="431">
                  <c:v>-0.2754729172177576</c:v>
                </c:pt>
                <c:pt idx="432">
                  <c:v>-0.26913131264796775</c:v>
                </c:pt>
                <c:pt idx="433">
                  <c:v>-0.2625325220991839</c:v>
                </c:pt>
                <c:pt idx="434">
                  <c:v>-0.2569297267579348</c:v>
                </c:pt>
                <c:pt idx="435">
                  <c:v>-0.2510852016261258</c:v>
                </c:pt>
                <c:pt idx="436">
                  <c:v>-0.24322734270474292</c:v>
                </c:pt>
                <c:pt idx="437">
                  <c:v>-0.23652214962302984</c:v>
                </c:pt>
                <c:pt idx="438">
                  <c:v>-0.22969468389706774</c:v>
                </c:pt>
                <c:pt idx="439">
                  <c:v>-0.22213233309696376</c:v>
                </c:pt>
                <c:pt idx="440">
                  <c:v>-0.21496401630178008</c:v>
                </c:pt>
                <c:pt idx="441">
                  <c:v>-0.2084465024594708</c:v>
                </c:pt>
                <c:pt idx="442">
                  <c:v>-0.20364172574808934</c:v>
                </c:pt>
                <c:pt idx="443">
                  <c:v>-0.1990069615294843</c:v>
                </c:pt>
                <c:pt idx="444">
                  <c:v>-0.19324241465451245</c:v>
                </c:pt>
                <c:pt idx="445">
                  <c:v>-0.18643261684991325</c:v>
                </c:pt>
                <c:pt idx="446">
                  <c:v>-0.1805946643132889</c:v>
                </c:pt>
                <c:pt idx="447">
                  <c:v>-0.17462825765067255</c:v>
                </c:pt>
                <c:pt idx="448">
                  <c:v>-0.16910942101006063</c:v>
                </c:pt>
                <c:pt idx="449">
                  <c:v>-0.1635797642984412</c:v>
                </c:pt>
                <c:pt idx="450">
                  <c:v>-0.1582779154911746</c:v>
                </c:pt>
                <c:pt idx="451">
                  <c:v>-0.15527189149948828</c:v>
                </c:pt>
                <c:pt idx="452">
                  <c:v>-0.15289602583342587</c:v>
                </c:pt>
                <c:pt idx="453">
                  <c:v>-0.15081713279201117</c:v>
                </c:pt>
                <c:pt idx="454">
                  <c:v>-0.14864279416981374</c:v>
                </c:pt>
                <c:pt idx="455">
                  <c:v>-0.14663215956486605</c:v>
                </c:pt>
                <c:pt idx="456">
                  <c:v>-0.1447936905222791</c:v>
                </c:pt>
                <c:pt idx="457">
                  <c:v>-0.14273658032874803</c:v>
                </c:pt>
                <c:pt idx="458">
                  <c:v>-0.1406689551527623</c:v>
                </c:pt>
                <c:pt idx="459">
                  <c:v>-0.13877798405596417</c:v>
                </c:pt>
                <c:pt idx="460">
                  <c:v>-0.13703796003607085</c:v>
                </c:pt>
                <c:pt idx="461">
                  <c:v>-0.1347852057018572</c:v>
                </c:pt>
                <c:pt idx="462">
                  <c:v>-0.13237147183081738</c:v>
                </c:pt>
                <c:pt idx="463">
                  <c:v>-0.12985974934623043</c:v>
                </c:pt>
                <c:pt idx="464">
                  <c:v>-0.12760392055836067</c:v>
                </c:pt>
                <c:pt idx="465">
                  <c:v>-0.1255478566134769</c:v>
                </c:pt>
                <c:pt idx="466">
                  <c:v>-0.12348867394209978</c:v>
                </c:pt>
                <c:pt idx="467">
                  <c:v>-0.12125490445649303</c:v>
                </c:pt>
                <c:pt idx="468">
                  <c:v>-0.11902200530291904</c:v>
                </c:pt>
                <c:pt idx="469">
                  <c:v>-0.11657541540647302</c:v>
                </c:pt>
                <c:pt idx="470">
                  <c:v>-0.11409088192619962</c:v>
                </c:pt>
                <c:pt idx="471">
                  <c:v>-0.11125914768754788</c:v>
                </c:pt>
                <c:pt idx="472">
                  <c:v>-0.1081758366352805</c:v>
                </c:pt>
                <c:pt idx="473">
                  <c:v>-0.1050176791084865</c:v>
                </c:pt>
                <c:pt idx="474">
                  <c:v>-0.10166673258626502</c:v>
                </c:pt>
                <c:pt idx="475">
                  <c:v>-0.09807729526350538</c:v>
                </c:pt>
                <c:pt idx="476">
                  <c:v>-0.0945410713461421</c:v>
                </c:pt>
                <c:pt idx="477">
                  <c:v>-0.09122506101189987</c:v>
                </c:pt>
                <c:pt idx="478">
                  <c:v>-0.08867248252988368</c:v>
                </c:pt>
                <c:pt idx="479">
                  <c:v>-0.08660586512996295</c:v>
                </c:pt>
                <c:pt idx="480">
                  <c:v>-0.08476481492466115</c:v>
                </c:pt>
                <c:pt idx="481">
                  <c:v>-0.08262639202391309</c:v>
                </c:pt>
                <c:pt idx="482">
                  <c:v>-0.08017503133153121</c:v>
                </c:pt>
                <c:pt idx="483">
                  <c:v>-0.07821432473991295</c:v>
                </c:pt>
                <c:pt idx="484">
                  <c:v>-0.07661492042949017</c:v>
                </c:pt>
                <c:pt idx="485">
                  <c:v>-0.07552502131992704</c:v>
                </c:pt>
                <c:pt idx="486">
                  <c:v>-0.074407341800236</c:v>
                </c:pt>
                <c:pt idx="487">
                  <c:v>-0.07311608909158376</c:v>
                </c:pt>
                <c:pt idx="488">
                  <c:v>-0.07197818562225632</c:v>
                </c:pt>
                <c:pt idx="489">
                  <c:v>-0.07072040459821426</c:v>
                </c:pt>
                <c:pt idx="490">
                  <c:v>-0.06932454227194533</c:v>
                </c:pt>
                <c:pt idx="491">
                  <c:v>-0.06810014771525515</c:v>
                </c:pt>
                <c:pt idx="492">
                  <c:v>-0.06682841739451498</c:v>
                </c:pt>
                <c:pt idx="493">
                  <c:v>-0.06546894371855774</c:v>
                </c:pt>
                <c:pt idx="494">
                  <c:v>-0.064465813888366</c:v>
                </c:pt>
                <c:pt idx="495">
                  <c:v>-0.06388759076817101</c:v>
                </c:pt>
                <c:pt idx="496">
                  <c:v>-0.06322722609156751</c:v>
                </c:pt>
                <c:pt idx="497">
                  <c:v>-0.06261063283625487</c:v>
                </c:pt>
                <c:pt idx="498">
                  <c:v>-0.06227110350107219</c:v>
                </c:pt>
                <c:pt idx="499">
                  <c:v>-0.0621815570105139</c:v>
                </c:pt>
                <c:pt idx="500">
                  <c:v>-0.06238201343993223</c:v>
                </c:pt>
                <c:pt idx="501">
                  <c:v>-0.062476293375075966</c:v>
                </c:pt>
                <c:pt idx="502">
                  <c:v>-0.062198536738168615</c:v>
                </c:pt>
                <c:pt idx="503">
                  <c:v>-0.06168855531446229</c:v>
                </c:pt>
                <c:pt idx="504">
                  <c:v>-0.06113039608621602</c:v>
                </c:pt>
                <c:pt idx="505">
                  <c:v>-0.060394663254708006</c:v>
                </c:pt>
                <c:pt idx="506">
                  <c:v>-0.059669620098586965</c:v>
                </c:pt>
                <c:pt idx="507">
                  <c:v>-0.05884376115704841</c:v>
                </c:pt>
                <c:pt idx="508">
                  <c:v>-0.058093243522817535</c:v>
                </c:pt>
                <c:pt idx="509">
                  <c:v>-0.05754789483221558</c:v>
                </c:pt>
                <c:pt idx="510">
                  <c:v>-0.05699420730739718</c:v>
                </c:pt>
                <c:pt idx="511">
                  <c:v>-0.05638334193915102</c:v>
                </c:pt>
                <c:pt idx="512">
                  <c:v>-0.055569357124362506</c:v>
                </c:pt>
                <c:pt idx="513">
                  <c:v>-0.05468453427670593</c:v>
                </c:pt>
                <c:pt idx="514">
                  <c:v>-0.05414453307918878</c:v>
                </c:pt>
                <c:pt idx="515">
                  <c:v>-0.053605165088484376</c:v>
                </c:pt>
                <c:pt idx="516">
                  <c:v>-0.05297958469189881</c:v>
                </c:pt>
                <c:pt idx="517">
                  <c:v>-0.052437755165693385</c:v>
                </c:pt>
                <c:pt idx="518">
                  <c:v>-0.05189222505190491</c:v>
                </c:pt>
                <c:pt idx="519">
                  <c:v>-0.051185831039298954</c:v>
                </c:pt>
                <c:pt idx="520">
                  <c:v>-0.05024622355327775</c:v>
                </c:pt>
                <c:pt idx="521">
                  <c:v>-0.04915885908201578</c:v>
                </c:pt>
                <c:pt idx="522">
                  <c:v>-0.04781416132484557</c:v>
                </c:pt>
                <c:pt idx="523">
                  <c:v>-0.0462403160245285</c:v>
                </c:pt>
                <c:pt idx="524">
                  <c:v>-0.044567217214405326</c:v>
                </c:pt>
                <c:pt idx="525">
                  <c:v>-0.042750829916420714</c:v>
                </c:pt>
                <c:pt idx="526">
                  <c:v>-0.04061979245427988</c:v>
                </c:pt>
                <c:pt idx="527">
                  <c:v>-0.038214636647410344</c:v>
                </c:pt>
                <c:pt idx="528">
                  <c:v>-0.0356804648484332</c:v>
                </c:pt>
                <c:pt idx="529">
                  <c:v>-0.03300826191821698</c:v>
                </c:pt>
                <c:pt idx="530">
                  <c:v>-0.030083312309319113</c:v>
                </c:pt>
                <c:pt idx="531">
                  <c:v>-0.027237686580736626</c:v>
                </c:pt>
                <c:pt idx="532">
                  <c:v>-0.02462946913409211</c:v>
                </c:pt>
                <c:pt idx="533">
                  <c:v>-0.022202956443261705</c:v>
                </c:pt>
                <c:pt idx="534">
                  <c:v>-0.019996709317590358</c:v>
                </c:pt>
                <c:pt idx="535">
                  <c:v>-0.017769813844673445</c:v>
                </c:pt>
                <c:pt idx="536">
                  <c:v>-0.015762708487267227</c:v>
                </c:pt>
                <c:pt idx="537">
                  <c:v>-0.013796323763518095</c:v>
                </c:pt>
                <c:pt idx="538">
                  <c:v>-0.011732912387609385</c:v>
                </c:pt>
                <c:pt idx="539">
                  <c:v>-0.009685746940428777</c:v>
                </c:pt>
                <c:pt idx="540">
                  <c:v>-0.007649489816247093</c:v>
                </c:pt>
                <c:pt idx="541">
                  <c:v>-0.005521355761404297</c:v>
                </c:pt>
                <c:pt idx="542">
                  <c:v>-0.0033393615604223946</c:v>
                </c:pt>
                <c:pt idx="543">
                  <c:v>-0.0011888821797390822</c:v>
                </c:pt>
                <c:pt idx="544">
                  <c:v>0.0010069339815265662</c:v>
                </c:pt>
                <c:pt idx="545">
                  <c:v>0.003173928403221534</c:v>
                </c:pt>
                <c:pt idx="546">
                  <c:v>0.005315815525016115</c:v>
                </c:pt>
                <c:pt idx="547">
                  <c:v>0.0073555198610557515</c:v>
                </c:pt>
                <c:pt idx="548">
                  <c:v>0.00933796637377112</c:v>
                </c:pt>
                <c:pt idx="549">
                  <c:v>0.011210564732486264</c:v>
                </c:pt>
                <c:pt idx="550">
                  <c:v>0.013090719282482606</c:v>
                </c:pt>
                <c:pt idx="551">
                  <c:v>0.014794870825870367</c:v>
                </c:pt>
                <c:pt idx="552">
                  <c:v>0.016149468640501312</c:v>
                </c:pt>
                <c:pt idx="553">
                  <c:v>0.017265254266588793</c:v>
                </c:pt>
                <c:pt idx="554">
                  <c:v>0.01833110235909613</c:v>
                </c:pt>
                <c:pt idx="555">
                  <c:v>0.01922339911761395</c:v>
                </c:pt>
                <c:pt idx="556">
                  <c:v>0.02003336765917512</c:v>
                </c:pt>
                <c:pt idx="557">
                  <c:v>0.020872265869114795</c:v>
                </c:pt>
                <c:pt idx="558">
                  <c:v>0.021611074965328894</c:v>
                </c:pt>
                <c:pt idx="559">
                  <c:v>0.022236033633244726</c:v>
                </c:pt>
                <c:pt idx="560">
                  <c:v>0.02271751837643367</c:v>
                </c:pt>
                <c:pt idx="561">
                  <c:v>0.02294729527407123</c:v>
                </c:pt>
                <c:pt idx="562">
                  <c:v>0.022817529937710954</c:v>
                </c:pt>
                <c:pt idx="563">
                  <c:v>0.022306253177078482</c:v>
                </c:pt>
                <c:pt idx="564">
                  <c:v>0.021542603695175494</c:v>
                </c:pt>
                <c:pt idx="565">
                  <c:v>0.020769740103345827</c:v>
                </c:pt>
                <c:pt idx="566">
                  <c:v>0.020126591544561926</c:v>
                </c:pt>
                <c:pt idx="567">
                  <c:v>0.019294683038824253</c:v>
                </c:pt>
                <c:pt idx="568">
                  <c:v>0.01834849723534031</c:v>
                </c:pt>
                <c:pt idx="569">
                  <c:v>0.017400707624456682</c:v>
                </c:pt>
                <c:pt idx="570">
                  <c:v>0.016147787047896375</c:v>
                </c:pt>
                <c:pt idx="571">
                  <c:v>0.014826298076059301</c:v>
                </c:pt>
                <c:pt idx="572">
                  <c:v>0.01340220652190492</c:v>
                </c:pt>
                <c:pt idx="573">
                  <c:v>0.011890811722227475</c:v>
                </c:pt>
                <c:pt idx="574">
                  <c:v>0.010578187498926802</c:v>
                </c:pt>
                <c:pt idx="575">
                  <c:v>0.009365644680151145</c:v>
                </c:pt>
                <c:pt idx="576">
                  <c:v>0.008044132654133375</c:v>
                </c:pt>
                <c:pt idx="577">
                  <c:v>0.006667963032481425</c:v>
                </c:pt>
                <c:pt idx="578">
                  <c:v>0.00531272129613457</c:v>
                </c:pt>
                <c:pt idx="579">
                  <c:v>0.003890802806538461</c:v>
                </c:pt>
                <c:pt idx="580">
                  <c:v>0.0025371322786860856</c:v>
                </c:pt>
                <c:pt idx="581">
                  <c:v>0.0012684842966745016</c:v>
                </c:pt>
                <c:pt idx="582">
                  <c:v>-4.060970013873747E-05</c:v>
                </c:pt>
                <c:pt idx="583">
                  <c:v>-0.0013312071956079535</c:v>
                </c:pt>
                <c:pt idx="584">
                  <c:v>-0.002698068287981627</c:v>
                </c:pt>
                <c:pt idx="585">
                  <c:v>-0.004023737286255295</c:v>
                </c:pt>
                <c:pt idx="586">
                  <c:v>-0.005297035531463817</c:v>
                </c:pt>
                <c:pt idx="587">
                  <c:v>-0.006597976106452399</c:v>
                </c:pt>
                <c:pt idx="588">
                  <c:v>-0.007939054230325754</c:v>
                </c:pt>
                <c:pt idx="589">
                  <c:v>-0.009151029015625457</c:v>
                </c:pt>
                <c:pt idx="590">
                  <c:v>-0.01014121962115103</c:v>
                </c:pt>
                <c:pt idx="591">
                  <c:v>-0.010981028099567438</c:v>
                </c:pt>
                <c:pt idx="592">
                  <c:v>-0.01148312454838738</c:v>
                </c:pt>
                <c:pt idx="593">
                  <c:v>-0.01199684957980116</c:v>
                </c:pt>
                <c:pt idx="594">
                  <c:v>-0.01237305214037078</c:v>
                </c:pt>
                <c:pt idx="595">
                  <c:v>-0.012661118029653001</c:v>
                </c:pt>
                <c:pt idx="596">
                  <c:v>-0.012854976778392726</c:v>
                </c:pt>
                <c:pt idx="597">
                  <c:v>-0.012822142446601115</c:v>
                </c:pt>
                <c:pt idx="598">
                  <c:v>-0.012552424180877726</c:v>
                </c:pt>
                <c:pt idx="599">
                  <c:v>-0.011987682763774925</c:v>
                </c:pt>
                <c:pt idx="600">
                  <c:v>-0.011307323186449296</c:v>
                </c:pt>
                <c:pt idx="601">
                  <c:v>-0.010627084778177512</c:v>
                </c:pt>
                <c:pt idx="602">
                  <c:v>-0.009993503087991676</c:v>
                </c:pt>
                <c:pt idx="603">
                  <c:v>-0.009403611615517449</c:v>
                </c:pt>
                <c:pt idx="604">
                  <c:v>-0.00879160393953799</c:v>
                </c:pt>
                <c:pt idx="605">
                  <c:v>-0.008315947939337789</c:v>
                </c:pt>
                <c:pt idx="606">
                  <c:v>-0.007859409043363273</c:v>
                </c:pt>
                <c:pt idx="607">
                  <c:v>-0.007429557882350649</c:v>
                </c:pt>
                <c:pt idx="608">
                  <c:v>-0.007098031162345618</c:v>
                </c:pt>
                <c:pt idx="609">
                  <c:v>-0.00674147494418169</c:v>
                </c:pt>
                <c:pt idx="610">
                  <c:v>-0.006330993063910747</c:v>
                </c:pt>
                <c:pt idx="611">
                  <c:v>-0.0060491298459981165</c:v>
                </c:pt>
                <c:pt idx="612">
                  <c:v>-0.005893330901904956</c:v>
                </c:pt>
                <c:pt idx="613">
                  <c:v>-0.005840983653504771</c:v>
                </c:pt>
                <c:pt idx="614">
                  <c:v>-0.005712300537504108</c:v>
                </c:pt>
                <c:pt idx="615">
                  <c:v>-0.005544770906738624</c:v>
                </c:pt>
                <c:pt idx="616">
                  <c:v>-0.005374970732856707</c:v>
                </c:pt>
                <c:pt idx="617">
                  <c:v>-0.005141653134008408</c:v>
                </c:pt>
                <c:pt idx="618">
                  <c:v>-0.004867241849617052</c:v>
                </c:pt>
                <c:pt idx="619">
                  <c:v>-0.004657179262274997</c:v>
                </c:pt>
                <c:pt idx="620">
                  <c:v>-0.004404204523583576</c:v>
                </c:pt>
                <c:pt idx="621">
                  <c:v>-0.004246669222788453</c:v>
                </c:pt>
                <c:pt idx="622">
                  <c:v>-0.004078844660035944</c:v>
                </c:pt>
                <c:pt idx="623">
                  <c:v>-0.004030890260955053</c:v>
                </c:pt>
                <c:pt idx="624">
                  <c:v>-0.0038614591252801186</c:v>
                </c:pt>
                <c:pt idx="625">
                  <c:v>-0.0037410106102096596</c:v>
                </c:pt>
                <c:pt idx="626">
                  <c:v>-0.0035266923238972668</c:v>
                </c:pt>
                <c:pt idx="627">
                  <c:v>-0.0033064361176320385</c:v>
                </c:pt>
                <c:pt idx="628">
                  <c:v>-0.0031289524405283104</c:v>
                </c:pt>
                <c:pt idx="629">
                  <c:v>-0.003111887657817659</c:v>
                </c:pt>
                <c:pt idx="630">
                  <c:v>-0.0029949945770967835</c:v>
                </c:pt>
                <c:pt idx="631">
                  <c:v>-0.0028416836000494153</c:v>
                </c:pt>
                <c:pt idx="632">
                  <c:v>-0.0027980583943175057</c:v>
                </c:pt>
                <c:pt idx="633">
                  <c:v>-0.0027618337519101405</c:v>
                </c:pt>
                <c:pt idx="634">
                  <c:v>-0.0025811713633907135</c:v>
                </c:pt>
                <c:pt idx="635">
                  <c:v>-0.002370565338593521</c:v>
                </c:pt>
                <c:pt idx="636">
                  <c:v>-0.0021713252451508714</c:v>
                </c:pt>
                <c:pt idx="637">
                  <c:v>-0.001957629690927916</c:v>
                </c:pt>
                <c:pt idx="638">
                  <c:v>-0.001801755979826179</c:v>
                </c:pt>
                <c:pt idx="639">
                  <c:v>-0.001667565459894899</c:v>
                </c:pt>
                <c:pt idx="640">
                  <c:v>-0.0015116917487931615</c:v>
                </c:pt>
                <c:pt idx="641">
                  <c:v>-0.0013847289592520335</c:v>
                </c:pt>
                <c:pt idx="642">
                  <c:v>-0.0012794493608813628</c:v>
                </c:pt>
                <c:pt idx="643">
                  <c:v>-0.0011886252232909962</c:v>
                </c:pt>
                <c:pt idx="644">
                  <c:v>-0.0012423556935036763</c:v>
                </c:pt>
                <c:pt idx="645">
                  <c:v>-0.0017731163694664084</c:v>
                </c:pt>
                <c:pt idx="646">
                  <c:v>-0.002043678751383657</c:v>
                </c:pt>
                <c:pt idx="647">
                  <c:v>-0.0023286965940812108</c:v>
                </c:pt>
                <c:pt idx="648">
                  <c:v>-0.0026715362798999825</c:v>
                </c:pt>
                <c:pt idx="649">
                  <c:v>-0.0029348709314270787</c:v>
                </c:pt>
                <c:pt idx="650">
                  <c:v>-0.0031765223917837185</c:v>
                </c:pt>
                <c:pt idx="651">
                  <c:v>-0.0035627284599434035</c:v>
                </c:pt>
                <c:pt idx="652">
                  <c:v>-0.0037826967291295865</c:v>
                </c:pt>
                <c:pt idx="653">
                  <c:v>-0.003944843155194552</c:v>
                </c:pt>
                <c:pt idx="654">
                  <c:v>-0.004099761850869364</c:v>
                </c:pt>
                <c:pt idx="655">
                  <c:v>-0.004139036860301739</c:v>
                </c:pt>
                <c:pt idx="656">
                  <c:v>-0.004199995060904571</c:v>
                </c:pt>
                <c:pt idx="657">
                  <c:v>-0.00415253730565512</c:v>
                </c:pt>
                <c:pt idx="658">
                  <c:v>-0.003967752672992773</c:v>
                </c:pt>
                <c:pt idx="659">
                  <c:v>-0.00366732435408799</c:v>
                </c:pt>
                <c:pt idx="660">
                  <c:v>-0.003287391000891532</c:v>
                </c:pt>
                <c:pt idx="661">
                  <c:v>-0.00274121984872157</c:v>
                </c:pt>
                <c:pt idx="662">
                  <c:v>-0.0020866327406993254</c:v>
                </c:pt>
              </c:numCache>
            </c:numRef>
          </c:val>
          <c:smooth val="0"/>
        </c:ser>
        <c:marker val="1"/>
        <c:axId val="40552280"/>
        <c:axId val="29426201"/>
      </c:lineChart>
      <c:catAx>
        <c:axId val="405522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Lag in Months</a:t>
                </a:r>
              </a:p>
            </c:rich>
          </c:tx>
          <c:layout>
            <c:manualLayout>
              <c:xMode val="factor"/>
              <c:yMode val="factor"/>
              <c:x val="0"/>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426201"/>
        <c:crosses val="autoZero"/>
        <c:auto val="1"/>
        <c:lblOffset val="100"/>
        <c:tickLblSkip val="21"/>
        <c:noMultiLvlLbl val="0"/>
      </c:catAx>
      <c:valAx>
        <c:axId val="294262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Sample Autocorrelation</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55228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Correlogram of First Differences: Three Month Treasury Bills
Jan 1945 to June 2000</a:t>
            </a:r>
          </a:p>
        </c:rich>
      </c:tx>
      <c:layout>
        <c:manualLayout>
          <c:xMode val="factor"/>
          <c:yMode val="factor"/>
          <c:x val="0.00225"/>
          <c:y val="0"/>
        </c:manualLayout>
      </c:layout>
      <c:spPr>
        <a:noFill/>
        <a:ln>
          <a:noFill/>
        </a:ln>
      </c:spPr>
    </c:title>
    <c:plotArea>
      <c:layout>
        <c:manualLayout>
          <c:xMode val="edge"/>
          <c:yMode val="edge"/>
          <c:x val="0.0375"/>
          <c:y val="0.13875"/>
          <c:w val="0.9515"/>
          <c:h val="0.80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'Three monthTr Bill'!$L$173:$L$834</c:f>
              <c:numCache>
                <c:ptCount val="662"/>
                <c:pt idx="0">
                  <c:v>0.2724558506042784</c:v>
                </c:pt>
                <c:pt idx="1">
                  <c:v>-0.10486114091158316</c:v>
                </c:pt>
                <c:pt idx="2">
                  <c:v>-0.08832987108998157</c:v>
                </c:pt>
                <c:pt idx="3">
                  <c:v>-0.03565419869960634</c:v>
                </c:pt>
                <c:pt idx="4">
                  <c:v>0.04389012855321242</c:v>
                </c:pt>
                <c:pt idx="5">
                  <c:v>-0.18212651361019547</c:v>
                </c:pt>
                <c:pt idx="6">
                  <c:v>-0.19762166481307156</c:v>
                </c:pt>
                <c:pt idx="7">
                  <c:v>0.09235107598610338</c:v>
                </c:pt>
                <c:pt idx="8">
                  <c:v>0.1932608592878834</c:v>
                </c:pt>
                <c:pt idx="9">
                  <c:v>0.06165179448478626</c:v>
                </c:pt>
                <c:pt idx="10">
                  <c:v>-0.008509657656864143</c:v>
                </c:pt>
                <c:pt idx="11">
                  <c:v>-0.09394415281755912</c:v>
                </c:pt>
                <c:pt idx="12">
                  <c:v>0.03438644854005673</c:v>
                </c:pt>
                <c:pt idx="13">
                  <c:v>0.15513731315606918</c:v>
                </c:pt>
                <c:pt idx="14">
                  <c:v>-0.09987171714159919</c:v>
                </c:pt>
                <c:pt idx="15">
                  <c:v>0.005237442046553674</c:v>
                </c:pt>
                <c:pt idx="16">
                  <c:v>0.08046657569420458</c:v>
                </c:pt>
                <c:pt idx="17">
                  <c:v>0.07918211417145192</c:v>
                </c:pt>
                <c:pt idx="18">
                  <c:v>-0.02938048396980203</c:v>
                </c:pt>
                <c:pt idx="19">
                  <c:v>-0.23568499417002667</c:v>
                </c:pt>
                <c:pt idx="20">
                  <c:v>-0.1583069671795483</c:v>
                </c:pt>
                <c:pt idx="21">
                  <c:v>-0.012626545097914738</c:v>
                </c:pt>
                <c:pt idx="22">
                  <c:v>-0.01330769726499718</c:v>
                </c:pt>
                <c:pt idx="23">
                  <c:v>-0.027357042448010183</c:v>
                </c:pt>
                <c:pt idx="24">
                  <c:v>-0.010482874130309495</c:v>
                </c:pt>
                <c:pt idx="25">
                  <c:v>0.06266647800236023</c:v>
                </c:pt>
                <c:pt idx="26">
                  <c:v>0.13000035496914417</c:v>
                </c:pt>
                <c:pt idx="27">
                  <c:v>0.06068418332293159</c:v>
                </c:pt>
                <c:pt idx="28">
                  <c:v>-0.05983565854927255</c:v>
                </c:pt>
                <c:pt idx="29">
                  <c:v>-0.04978679550704519</c:v>
                </c:pt>
                <c:pt idx="30">
                  <c:v>-0.0632639550296629</c:v>
                </c:pt>
                <c:pt idx="31">
                  <c:v>-0.021781302549475474</c:v>
                </c:pt>
                <c:pt idx="32">
                  <c:v>-0.05086017866053129</c:v>
                </c:pt>
                <c:pt idx="33">
                  <c:v>-0.058287184173487425</c:v>
                </c:pt>
                <c:pt idx="34">
                  <c:v>-0.02847221737858886</c:v>
                </c:pt>
                <c:pt idx="35">
                  <c:v>-0.01942439739426324</c:v>
                </c:pt>
                <c:pt idx="36">
                  <c:v>0.0035527517331256746</c:v>
                </c:pt>
                <c:pt idx="37">
                  <c:v>0.013753947868902855</c:v>
                </c:pt>
                <c:pt idx="38">
                  <c:v>-0.011806021462340083</c:v>
                </c:pt>
                <c:pt idx="39">
                  <c:v>0.008805391356544233</c:v>
                </c:pt>
                <c:pt idx="40">
                  <c:v>0.013131299000897852</c:v>
                </c:pt>
                <c:pt idx="41">
                  <c:v>0.001889125909560979</c:v>
                </c:pt>
                <c:pt idx="42">
                  <c:v>0.012246072508970434</c:v>
                </c:pt>
                <c:pt idx="43">
                  <c:v>0.0010404268912200699</c:v>
                </c:pt>
                <c:pt idx="44">
                  <c:v>0.007402753836803372</c:v>
                </c:pt>
                <c:pt idx="45">
                  <c:v>-0.008808063074703077</c:v>
                </c:pt>
                <c:pt idx="46">
                  <c:v>-0.09309015329018491</c:v>
                </c:pt>
                <c:pt idx="47">
                  <c:v>-0.028011229127100343</c:v>
                </c:pt>
                <c:pt idx="48">
                  <c:v>-0.04267082619554209</c:v>
                </c:pt>
                <c:pt idx="49">
                  <c:v>-0.05234780639279213</c:v>
                </c:pt>
                <c:pt idx="50">
                  <c:v>0.015130773704149081</c:v>
                </c:pt>
                <c:pt idx="51">
                  <c:v>0.028678892823295794</c:v>
                </c:pt>
                <c:pt idx="52">
                  <c:v>0.05010982222490189</c:v>
                </c:pt>
                <c:pt idx="53">
                  <c:v>0.08461614300991835</c:v>
                </c:pt>
                <c:pt idx="54">
                  <c:v>0.04126012493413558</c:v>
                </c:pt>
                <c:pt idx="55">
                  <c:v>0.018437775909195483</c:v>
                </c:pt>
                <c:pt idx="56">
                  <c:v>-0.07079444251397886</c:v>
                </c:pt>
                <c:pt idx="57">
                  <c:v>-0.08399244788652908</c:v>
                </c:pt>
                <c:pt idx="58">
                  <c:v>0.023136165840655407</c:v>
                </c:pt>
                <c:pt idx="59">
                  <c:v>0.028016355073888374</c:v>
                </c:pt>
                <c:pt idx="60">
                  <c:v>-0.03621451581437903</c:v>
                </c:pt>
                <c:pt idx="61">
                  <c:v>-0.0015560456180798111</c:v>
                </c:pt>
                <c:pt idx="62">
                  <c:v>0.023726634930078122</c:v>
                </c:pt>
                <c:pt idx="63">
                  <c:v>0.04877919899400363</c:v>
                </c:pt>
                <c:pt idx="64">
                  <c:v>-0.006877790628764599</c:v>
                </c:pt>
                <c:pt idx="65">
                  <c:v>-0.02404586272551522</c:v>
                </c:pt>
                <c:pt idx="66">
                  <c:v>0.053180652792093476</c:v>
                </c:pt>
                <c:pt idx="67">
                  <c:v>0.014835309878715616</c:v>
                </c:pt>
                <c:pt idx="68">
                  <c:v>-0.05396238612186173</c:v>
                </c:pt>
                <c:pt idx="69">
                  <c:v>0.007181491936082794</c:v>
                </c:pt>
                <c:pt idx="70">
                  <c:v>0.017241588193839814</c:v>
                </c:pt>
                <c:pt idx="71">
                  <c:v>0.0021089641920804332</c:v>
                </c:pt>
                <c:pt idx="72">
                  <c:v>-0.031213097675882102</c:v>
                </c:pt>
                <c:pt idx="73">
                  <c:v>-0.03806656245926328</c:v>
                </c:pt>
                <c:pt idx="74">
                  <c:v>-0.004188843088186343</c:v>
                </c:pt>
                <c:pt idx="75">
                  <c:v>0.03962536650021396</c:v>
                </c:pt>
                <c:pt idx="76">
                  <c:v>-0.019857238592280845</c:v>
                </c:pt>
                <c:pt idx="77">
                  <c:v>0.0088877668981799</c:v>
                </c:pt>
                <c:pt idx="78">
                  <c:v>0.013813326751269667</c:v>
                </c:pt>
                <c:pt idx="79">
                  <c:v>0.09281984552487206</c:v>
                </c:pt>
                <c:pt idx="80">
                  <c:v>0.05771896938612944</c:v>
                </c:pt>
                <c:pt idx="81">
                  <c:v>-0.06524813732370079</c:v>
                </c:pt>
                <c:pt idx="82">
                  <c:v>-0.03671579190273938</c:v>
                </c:pt>
                <c:pt idx="83">
                  <c:v>-0.025299571667089755</c:v>
                </c:pt>
                <c:pt idx="84">
                  <c:v>0.01049728642764801</c:v>
                </c:pt>
                <c:pt idx="85">
                  <c:v>-0.01864926285014568</c:v>
                </c:pt>
                <c:pt idx="86">
                  <c:v>-0.05409895491371044</c:v>
                </c:pt>
                <c:pt idx="87">
                  <c:v>-0.007219292868382021</c:v>
                </c:pt>
                <c:pt idx="88">
                  <c:v>0.042173898217333916</c:v>
                </c:pt>
                <c:pt idx="89">
                  <c:v>0.07989057257032234</c:v>
                </c:pt>
                <c:pt idx="90">
                  <c:v>-0.03304940057302055</c:v>
                </c:pt>
                <c:pt idx="91">
                  <c:v>0.0002659474901697035</c:v>
                </c:pt>
                <c:pt idx="92">
                  <c:v>0.0277655465139144</c:v>
                </c:pt>
                <c:pt idx="93">
                  <c:v>0.0421557586362236</c:v>
                </c:pt>
                <c:pt idx="94">
                  <c:v>0.02311433199574338</c:v>
                </c:pt>
                <c:pt idx="95">
                  <c:v>-0.028622416092630904</c:v>
                </c:pt>
                <c:pt idx="96">
                  <c:v>0.036610086243801805</c:v>
                </c:pt>
                <c:pt idx="97">
                  <c:v>-0.024653637397014795</c:v>
                </c:pt>
                <c:pt idx="98">
                  <c:v>-0.011812614713788212</c:v>
                </c:pt>
                <c:pt idx="99">
                  <c:v>-0.017907697212456827</c:v>
                </c:pt>
                <c:pt idx="100">
                  <c:v>-0.00026652124274881685</c:v>
                </c:pt>
                <c:pt idx="101">
                  <c:v>-0.01588597364541272</c:v>
                </c:pt>
                <c:pt idx="102">
                  <c:v>-0.021814314441558826</c:v>
                </c:pt>
                <c:pt idx="103">
                  <c:v>0.029708131382923712</c:v>
                </c:pt>
                <c:pt idx="104">
                  <c:v>-0.031211942534318297</c:v>
                </c:pt>
                <c:pt idx="105">
                  <c:v>-0.02017651323657857</c:v>
                </c:pt>
                <c:pt idx="106">
                  <c:v>-0.027113275178335415</c:v>
                </c:pt>
                <c:pt idx="107">
                  <c:v>-0.03753183898206598</c:v>
                </c:pt>
                <c:pt idx="108">
                  <c:v>-0.0384585116462558</c:v>
                </c:pt>
                <c:pt idx="109">
                  <c:v>0.0032995938413129125</c:v>
                </c:pt>
                <c:pt idx="110">
                  <c:v>0.04108946502777669</c:v>
                </c:pt>
                <c:pt idx="111">
                  <c:v>0.036489935646316154</c:v>
                </c:pt>
                <c:pt idx="112">
                  <c:v>0.04332270147507105</c:v>
                </c:pt>
                <c:pt idx="113">
                  <c:v>-0.003283920782832943</c:v>
                </c:pt>
                <c:pt idx="114">
                  <c:v>0.010840640585771938</c:v>
                </c:pt>
                <c:pt idx="115">
                  <c:v>-0.03835065514413662</c:v>
                </c:pt>
                <c:pt idx="116">
                  <c:v>-0.03714933794744684</c:v>
                </c:pt>
                <c:pt idx="117">
                  <c:v>0.03250123766200677</c:v>
                </c:pt>
                <c:pt idx="118">
                  <c:v>0.007089442725800363</c:v>
                </c:pt>
                <c:pt idx="119">
                  <c:v>-0.016281806107583695</c:v>
                </c:pt>
                <c:pt idx="120">
                  <c:v>0.021389497625547843</c:v>
                </c:pt>
                <c:pt idx="121">
                  <c:v>0.03069287023846499</c:v>
                </c:pt>
                <c:pt idx="122">
                  <c:v>0.03974026456388419</c:v>
                </c:pt>
                <c:pt idx="123">
                  <c:v>-0.006630355677984812</c:v>
                </c:pt>
                <c:pt idx="124">
                  <c:v>-0.06864738559355905</c:v>
                </c:pt>
                <c:pt idx="125">
                  <c:v>-0.018880443990241393</c:v>
                </c:pt>
                <c:pt idx="126">
                  <c:v>0.047080955777412864</c:v>
                </c:pt>
                <c:pt idx="127">
                  <c:v>0.05610525013293567</c:v>
                </c:pt>
                <c:pt idx="128">
                  <c:v>0.058819437175052475</c:v>
                </c:pt>
                <c:pt idx="129">
                  <c:v>0.0017714646397221422</c:v>
                </c:pt>
                <c:pt idx="130">
                  <c:v>0.03178270638596201</c:v>
                </c:pt>
                <c:pt idx="131">
                  <c:v>0.017247090448208307</c:v>
                </c:pt>
                <c:pt idx="132">
                  <c:v>-0.02570420739983165</c:v>
                </c:pt>
                <c:pt idx="133">
                  <c:v>-0.025248282741902734</c:v>
                </c:pt>
                <c:pt idx="134">
                  <c:v>-0.006519994823504092</c:v>
                </c:pt>
                <c:pt idx="135">
                  <c:v>0.008373944468279004</c:v>
                </c:pt>
                <c:pt idx="136">
                  <c:v>-0.020083052779833018</c:v>
                </c:pt>
                <c:pt idx="137">
                  <c:v>0.00221921690136265</c:v>
                </c:pt>
                <c:pt idx="138">
                  <c:v>0.020466891918803496</c:v>
                </c:pt>
                <c:pt idx="139">
                  <c:v>0.015555416153083828</c:v>
                </c:pt>
                <c:pt idx="140">
                  <c:v>0.0013364893417185497</c:v>
                </c:pt>
                <c:pt idx="141">
                  <c:v>0.0022343194374779556</c:v>
                </c:pt>
                <c:pt idx="142">
                  <c:v>-0.022183526755931684</c:v>
                </c:pt>
                <c:pt idx="143">
                  <c:v>-0.01629239212078312</c:v>
                </c:pt>
                <c:pt idx="144">
                  <c:v>0.014328064311018124</c:v>
                </c:pt>
                <c:pt idx="145">
                  <c:v>-0.019903599842666323</c:v>
                </c:pt>
                <c:pt idx="146">
                  <c:v>-0.0417737256965643</c:v>
                </c:pt>
                <c:pt idx="147">
                  <c:v>-0.06654745243276815</c:v>
                </c:pt>
                <c:pt idx="148">
                  <c:v>-0.04054075468224457</c:v>
                </c:pt>
                <c:pt idx="149">
                  <c:v>-0.02273592441195176</c:v>
                </c:pt>
                <c:pt idx="150">
                  <c:v>-0.01336639538586752</c:v>
                </c:pt>
                <c:pt idx="151">
                  <c:v>-0.006384679736936804</c:v>
                </c:pt>
                <c:pt idx="152">
                  <c:v>-0.005991460025384366</c:v>
                </c:pt>
                <c:pt idx="153">
                  <c:v>-0.020894339307020664</c:v>
                </c:pt>
                <c:pt idx="154">
                  <c:v>-0.019848586691908365</c:v>
                </c:pt>
                <c:pt idx="155">
                  <c:v>0.013632815640170349</c:v>
                </c:pt>
                <c:pt idx="156">
                  <c:v>-0.006980555042631343</c:v>
                </c:pt>
                <c:pt idx="157">
                  <c:v>-0.016324113428889942</c:v>
                </c:pt>
                <c:pt idx="158">
                  <c:v>0.006522623488676457</c:v>
                </c:pt>
                <c:pt idx="159">
                  <c:v>0.006707297833490381</c:v>
                </c:pt>
                <c:pt idx="160">
                  <c:v>-0.006996081249574234</c:v>
                </c:pt>
                <c:pt idx="161">
                  <c:v>-0.0340424569810624</c:v>
                </c:pt>
                <c:pt idx="162">
                  <c:v>-0.005760661871622956</c:v>
                </c:pt>
                <c:pt idx="163">
                  <c:v>-0.002197337006460242</c:v>
                </c:pt>
                <c:pt idx="164">
                  <c:v>-0.006038415909791577</c:v>
                </c:pt>
                <c:pt idx="165">
                  <c:v>-0.014862157879854718</c:v>
                </c:pt>
                <c:pt idx="166">
                  <c:v>-0.018875790324625562</c:v>
                </c:pt>
                <c:pt idx="167">
                  <c:v>0.005920357694063906</c:v>
                </c:pt>
                <c:pt idx="168">
                  <c:v>0.028090074772073467</c:v>
                </c:pt>
                <c:pt idx="169">
                  <c:v>0.034077168543192704</c:v>
                </c:pt>
                <c:pt idx="170">
                  <c:v>0.020008488326810743</c:v>
                </c:pt>
                <c:pt idx="171">
                  <c:v>-0.01972859312617999</c:v>
                </c:pt>
                <c:pt idx="172">
                  <c:v>-0.01707585605159714</c:v>
                </c:pt>
                <c:pt idx="173">
                  <c:v>0.0010731936872661718</c:v>
                </c:pt>
                <c:pt idx="174">
                  <c:v>0.025444087560586217</c:v>
                </c:pt>
                <c:pt idx="175">
                  <c:v>0.0012406161711328604</c:v>
                </c:pt>
                <c:pt idx="176">
                  <c:v>0.0294205985097197</c:v>
                </c:pt>
                <c:pt idx="177">
                  <c:v>0.034392522186781134</c:v>
                </c:pt>
                <c:pt idx="178">
                  <c:v>0.027117612190310805</c:v>
                </c:pt>
                <c:pt idx="179">
                  <c:v>0.007862803949988922</c:v>
                </c:pt>
                <c:pt idx="180">
                  <c:v>-0.02906316669157501</c:v>
                </c:pt>
                <c:pt idx="181">
                  <c:v>-0.01843405466739686</c:v>
                </c:pt>
                <c:pt idx="182">
                  <c:v>1.9976928091145107E-05</c:v>
                </c:pt>
                <c:pt idx="183">
                  <c:v>-0.004560325209594289</c:v>
                </c:pt>
                <c:pt idx="184">
                  <c:v>-0.012820396897175587</c:v>
                </c:pt>
                <c:pt idx="185">
                  <c:v>-0.002360396846690606</c:v>
                </c:pt>
                <c:pt idx="186">
                  <c:v>0.06403269584472439</c:v>
                </c:pt>
                <c:pt idx="187">
                  <c:v>0.048397193791516135</c:v>
                </c:pt>
                <c:pt idx="188">
                  <c:v>0.0302621698456508</c:v>
                </c:pt>
                <c:pt idx="189">
                  <c:v>0.01569186105719352</c:v>
                </c:pt>
                <c:pt idx="190">
                  <c:v>-0.00941833309597483</c:v>
                </c:pt>
                <c:pt idx="191">
                  <c:v>0.020824869656424792</c:v>
                </c:pt>
                <c:pt idx="192">
                  <c:v>-0.007045193455130567</c:v>
                </c:pt>
                <c:pt idx="193">
                  <c:v>0.004148662347892733</c:v>
                </c:pt>
                <c:pt idx="194">
                  <c:v>0.006782000595265504</c:v>
                </c:pt>
                <c:pt idx="195">
                  <c:v>-0.011484602547760025</c:v>
                </c:pt>
                <c:pt idx="196">
                  <c:v>0.007874908931432301</c:v>
                </c:pt>
                <c:pt idx="197">
                  <c:v>0.0046029898806119835</c:v>
                </c:pt>
                <c:pt idx="198">
                  <c:v>0.0010847991052087523</c:v>
                </c:pt>
                <c:pt idx="199">
                  <c:v>-0.009206200113785402</c:v>
                </c:pt>
                <c:pt idx="200">
                  <c:v>-0.0021618213144429816</c:v>
                </c:pt>
                <c:pt idx="201">
                  <c:v>0.006990417089182164</c:v>
                </c:pt>
                <c:pt idx="202">
                  <c:v>0.03512558645407631</c:v>
                </c:pt>
                <c:pt idx="203">
                  <c:v>0.01174618410784383</c:v>
                </c:pt>
                <c:pt idx="204">
                  <c:v>-0.0029424281594300082</c:v>
                </c:pt>
                <c:pt idx="205">
                  <c:v>-0.022750055129857734</c:v>
                </c:pt>
                <c:pt idx="206">
                  <c:v>-0.006503595112319046</c:v>
                </c:pt>
                <c:pt idx="207">
                  <c:v>0.0015756484797274065</c:v>
                </c:pt>
                <c:pt idx="208">
                  <c:v>-0.037405328568641066</c:v>
                </c:pt>
                <c:pt idx="209">
                  <c:v>-0.03157206484655356</c:v>
                </c:pt>
                <c:pt idx="210">
                  <c:v>0.006556382253317468</c:v>
                </c:pt>
                <c:pt idx="211">
                  <c:v>0.007267108312362494</c:v>
                </c:pt>
                <c:pt idx="212">
                  <c:v>0.008602592756358404</c:v>
                </c:pt>
                <c:pt idx="213">
                  <c:v>-0.014183558763139386</c:v>
                </c:pt>
                <c:pt idx="214">
                  <c:v>-0.015286820479174954</c:v>
                </c:pt>
                <c:pt idx="215">
                  <c:v>-0.0012579564718128266</c:v>
                </c:pt>
                <c:pt idx="216">
                  <c:v>-0.01868284827482945</c:v>
                </c:pt>
                <c:pt idx="217">
                  <c:v>-0.035524203513283</c:v>
                </c:pt>
                <c:pt idx="218">
                  <c:v>-0.012989774845041054</c:v>
                </c:pt>
                <c:pt idx="219">
                  <c:v>-0.011797412983790506</c:v>
                </c:pt>
                <c:pt idx="220">
                  <c:v>-0.022942039792382123</c:v>
                </c:pt>
                <c:pt idx="221">
                  <c:v>-0.025093960069452057</c:v>
                </c:pt>
                <c:pt idx="222">
                  <c:v>0.002048253756759891</c:v>
                </c:pt>
                <c:pt idx="223">
                  <c:v>0.0076821782233382156</c:v>
                </c:pt>
                <c:pt idx="224">
                  <c:v>-0.007149057274889204</c:v>
                </c:pt>
                <c:pt idx="225">
                  <c:v>0.0045024632445414955</c:v>
                </c:pt>
                <c:pt idx="226">
                  <c:v>-0.0031192520708576733</c:v>
                </c:pt>
                <c:pt idx="227">
                  <c:v>0.009174935304615097</c:v>
                </c:pt>
                <c:pt idx="228">
                  <c:v>-0.015387992382424043</c:v>
                </c:pt>
                <c:pt idx="229">
                  <c:v>-0.020172738382812732</c:v>
                </c:pt>
                <c:pt idx="230">
                  <c:v>0.0009156862846798679</c:v>
                </c:pt>
                <c:pt idx="231">
                  <c:v>-0.00031012340040316065</c:v>
                </c:pt>
                <c:pt idx="232">
                  <c:v>-0.003325910178591565</c:v>
                </c:pt>
                <c:pt idx="233">
                  <c:v>-0.023740549847163676</c:v>
                </c:pt>
                <c:pt idx="234">
                  <c:v>-0.026880990891054873</c:v>
                </c:pt>
                <c:pt idx="235">
                  <c:v>-0.03176243955563293</c:v>
                </c:pt>
                <c:pt idx="236">
                  <c:v>-0.025435620482069956</c:v>
                </c:pt>
                <c:pt idx="237">
                  <c:v>-0.0015595622366256082</c:v>
                </c:pt>
                <c:pt idx="238">
                  <c:v>0.02484048503938408</c:v>
                </c:pt>
                <c:pt idx="239">
                  <c:v>0.012085828165349036</c:v>
                </c:pt>
                <c:pt idx="240">
                  <c:v>0.00409651073877226</c:v>
                </c:pt>
                <c:pt idx="241">
                  <c:v>0.04792100873391538</c:v>
                </c:pt>
                <c:pt idx="242">
                  <c:v>0.03967138053810478</c:v>
                </c:pt>
                <c:pt idx="243">
                  <c:v>-0.005576039139119413</c:v>
                </c:pt>
                <c:pt idx="244">
                  <c:v>-0.03953047945638115</c:v>
                </c:pt>
                <c:pt idx="245">
                  <c:v>-0.01717979354935571</c:v>
                </c:pt>
                <c:pt idx="246">
                  <c:v>-0.021486247424735715</c:v>
                </c:pt>
                <c:pt idx="247">
                  <c:v>-0.016009133719426957</c:v>
                </c:pt>
                <c:pt idx="248">
                  <c:v>-0.008036554529849659</c:v>
                </c:pt>
                <c:pt idx="249">
                  <c:v>-0.0064879579599967626</c:v>
                </c:pt>
                <c:pt idx="250">
                  <c:v>0.032846432516412345</c:v>
                </c:pt>
                <c:pt idx="251">
                  <c:v>0.05061609038229825</c:v>
                </c:pt>
                <c:pt idx="252">
                  <c:v>0.02378453491176139</c:v>
                </c:pt>
                <c:pt idx="253">
                  <c:v>0.005671695824138768</c:v>
                </c:pt>
                <c:pt idx="254">
                  <c:v>0.023371669917393586</c:v>
                </c:pt>
                <c:pt idx="255">
                  <c:v>0.03260090638751777</c:v>
                </c:pt>
                <c:pt idx="256">
                  <c:v>0.04722937860786355</c:v>
                </c:pt>
                <c:pt idx="257">
                  <c:v>0.006688940212076709</c:v>
                </c:pt>
                <c:pt idx="258">
                  <c:v>-0.008247147063613274</c:v>
                </c:pt>
                <c:pt idx="259">
                  <c:v>-0.006210696991820432</c:v>
                </c:pt>
                <c:pt idx="260">
                  <c:v>-0.04406425758255216</c:v>
                </c:pt>
                <c:pt idx="261">
                  <c:v>-0.01669358371219277</c:v>
                </c:pt>
                <c:pt idx="262">
                  <c:v>0.005957707573968478</c:v>
                </c:pt>
                <c:pt idx="263">
                  <c:v>0.0024249201077502303</c:v>
                </c:pt>
                <c:pt idx="264">
                  <c:v>0.024679243217774968</c:v>
                </c:pt>
                <c:pt idx="265">
                  <c:v>0.053050847956866994</c:v>
                </c:pt>
                <c:pt idx="266">
                  <c:v>0.05757099794879247</c:v>
                </c:pt>
                <c:pt idx="267">
                  <c:v>0.05793695679214717</c:v>
                </c:pt>
                <c:pt idx="268">
                  <c:v>0.00937535577062989</c:v>
                </c:pt>
                <c:pt idx="269">
                  <c:v>-0.00331517509421981</c:v>
                </c:pt>
                <c:pt idx="270">
                  <c:v>-0.00812939494916128</c:v>
                </c:pt>
                <c:pt idx="271">
                  <c:v>-0.030677577842483497</c:v>
                </c:pt>
                <c:pt idx="272">
                  <c:v>-0.037020177145533247</c:v>
                </c:pt>
                <c:pt idx="273">
                  <c:v>-0.03310643381026023</c:v>
                </c:pt>
                <c:pt idx="274">
                  <c:v>-0.027291191848326766</c:v>
                </c:pt>
                <c:pt idx="275">
                  <c:v>-0.018476533954206596</c:v>
                </c:pt>
                <c:pt idx="276">
                  <c:v>-0.018811294362434235</c:v>
                </c:pt>
                <c:pt idx="277">
                  <c:v>-0.0240043704420654</c:v>
                </c:pt>
                <c:pt idx="278">
                  <c:v>-0.02782284102803531</c:v>
                </c:pt>
                <c:pt idx="279">
                  <c:v>0.005778637811689237</c:v>
                </c:pt>
                <c:pt idx="280">
                  <c:v>0.005123675216229005</c:v>
                </c:pt>
                <c:pt idx="281">
                  <c:v>-0.0031809795672378353</c:v>
                </c:pt>
                <c:pt idx="282">
                  <c:v>-0.003983573210190097</c:v>
                </c:pt>
                <c:pt idx="283">
                  <c:v>-0.0011540062070161394</c:v>
                </c:pt>
                <c:pt idx="284">
                  <c:v>-0.000935642114657508</c:v>
                </c:pt>
                <c:pt idx="285">
                  <c:v>0.0018121906792514465</c:v>
                </c:pt>
                <c:pt idx="286">
                  <c:v>0.012097207522860188</c:v>
                </c:pt>
                <c:pt idx="287">
                  <c:v>-0.0254692950808515</c:v>
                </c:pt>
                <c:pt idx="288">
                  <c:v>-0.0343856426106443</c:v>
                </c:pt>
                <c:pt idx="289">
                  <c:v>-0.012017150522652474</c:v>
                </c:pt>
                <c:pt idx="290">
                  <c:v>0.019132303139015577</c:v>
                </c:pt>
                <c:pt idx="291">
                  <c:v>0.008752605183121662</c:v>
                </c:pt>
                <c:pt idx="292">
                  <c:v>0.002151111774071348</c:v>
                </c:pt>
                <c:pt idx="293">
                  <c:v>0.02784457186499709</c:v>
                </c:pt>
                <c:pt idx="294">
                  <c:v>0.028422231670444602</c:v>
                </c:pt>
                <c:pt idx="295">
                  <c:v>0.025869437494302105</c:v>
                </c:pt>
                <c:pt idx="296">
                  <c:v>-0.007501358468802631</c:v>
                </c:pt>
                <c:pt idx="297">
                  <c:v>0.008279814568192557</c:v>
                </c:pt>
                <c:pt idx="298">
                  <c:v>0.010587209182619956</c:v>
                </c:pt>
                <c:pt idx="299">
                  <c:v>0.012561084095506275</c:v>
                </c:pt>
                <c:pt idx="300">
                  <c:v>-0.01749157860482907</c:v>
                </c:pt>
                <c:pt idx="301">
                  <c:v>-0.016006588894280853</c:v>
                </c:pt>
                <c:pt idx="302">
                  <c:v>0.0028819139567438402</c:v>
                </c:pt>
                <c:pt idx="303">
                  <c:v>0.005348628190232118</c:v>
                </c:pt>
                <c:pt idx="304">
                  <c:v>0.004890339807568024</c:v>
                </c:pt>
                <c:pt idx="305">
                  <c:v>-0.0054667201338314715</c:v>
                </c:pt>
                <c:pt idx="306">
                  <c:v>-0.0010938932191299551</c:v>
                </c:pt>
                <c:pt idx="307">
                  <c:v>0.008556482693602725</c:v>
                </c:pt>
                <c:pt idx="308">
                  <c:v>-0.0006505425737542854</c:v>
                </c:pt>
                <c:pt idx="309">
                  <c:v>-0.0026823533463639195</c:v>
                </c:pt>
                <c:pt idx="310">
                  <c:v>-0.0023800585567922933</c:v>
                </c:pt>
                <c:pt idx="311">
                  <c:v>-0.006844493480460714</c:v>
                </c:pt>
                <c:pt idx="312">
                  <c:v>-0.007805185860339571</c:v>
                </c:pt>
                <c:pt idx="313">
                  <c:v>-0.022294655753096998</c:v>
                </c:pt>
                <c:pt idx="314">
                  <c:v>-0.01964324955002999</c:v>
                </c:pt>
                <c:pt idx="315">
                  <c:v>0.01366701480394871</c:v>
                </c:pt>
                <c:pt idx="316">
                  <c:v>-0.011246153170402735</c:v>
                </c:pt>
                <c:pt idx="317">
                  <c:v>-0.002198362883210158</c:v>
                </c:pt>
                <c:pt idx="318">
                  <c:v>0.008401110302343076</c:v>
                </c:pt>
                <c:pt idx="319">
                  <c:v>0.014094944885114936</c:v>
                </c:pt>
                <c:pt idx="320">
                  <c:v>0.008365986240336869</c:v>
                </c:pt>
                <c:pt idx="321">
                  <c:v>0.0022708795440043233</c:v>
                </c:pt>
                <c:pt idx="322">
                  <c:v>-0.003968184554479053</c:v>
                </c:pt>
                <c:pt idx="323">
                  <c:v>-0.014249826976791486</c:v>
                </c:pt>
                <c:pt idx="324">
                  <c:v>-0.02527208949860261</c:v>
                </c:pt>
                <c:pt idx="325">
                  <c:v>-0.008612533561922302</c:v>
                </c:pt>
                <c:pt idx="326">
                  <c:v>-0.00995566122096389</c:v>
                </c:pt>
                <c:pt idx="327">
                  <c:v>-0.0014592290048912016</c:v>
                </c:pt>
                <c:pt idx="328">
                  <c:v>0.005836218155960086</c:v>
                </c:pt>
                <c:pt idx="329">
                  <c:v>-0.011127227495714018</c:v>
                </c:pt>
                <c:pt idx="330">
                  <c:v>-0.008617774688267464</c:v>
                </c:pt>
                <c:pt idx="331">
                  <c:v>0.01457129537997728</c:v>
                </c:pt>
                <c:pt idx="332">
                  <c:v>-0.0014436183442970525</c:v>
                </c:pt>
                <c:pt idx="333">
                  <c:v>-0.0008074419881192972</c:v>
                </c:pt>
                <c:pt idx="334">
                  <c:v>-0.007064901810653747</c:v>
                </c:pt>
                <c:pt idx="335">
                  <c:v>-0.006163184690153137</c:v>
                </c:pt>
                <c:pt idx="336">
                  <c:v>0.002007052017290641</c:v>
                </c:pt>
                <c:pt idx="337">
                  <c:v>0.01306202422833023</c:v>
                </c:pt>
                <c:pt idx="338">
                  <c:v>0.00519893501550502</c:v>
                </c:pt>
                <c:pt idx="339">
                  <c:v>0.010946295930769793</c:v>
                </c:pt>
                <c:pt idx="340">
                  <c:v>0.0038664378037190235</c:v>
                </c:pt>
                <c:pt idx="341">
                  <c:v>0.004129812850657079</c:v>
                </c:pt>
                <c:pt idx="342">
                  <c:v>0.015698128602792547</c:v>
                </c:pt>
                <c:pt idx="343">
                  <c:v>0.004872136632747581</c:v>
                </c:pt>
                <c:pt idx="344">
                  <c:v>-0.00789682985981683</c:v>
                </c:pt>
                <c:pt idx="345">
                  <c:v>0.010752082021655483</c:v>
                </c:pt>
                <c:pt idx="346">
                  <c:v>0.009332707523590469</c:v>
                </c:pt>
                <c:pt idx="347">
                  <c:v>0.002882240534238115</c:v>
                </c:pt>
                <c:pt idx="348">
                  <c:v>-0.00864942680891839</c:v>
                </c:pt>
                <c:pt idx="349">
                  <c:v>-0.002481775569069978</c:v>
                </c:pt>
                <c:pt idx="350">
                  <c:v>-0.012683777979940565</c:v>
                </c:pt>
                <c:pt idx="351">
                  <c:v>-0.007365408649227658</c:v>
                </c:pt>
                <c:pt idx="352">
                  <c:v>-0.002846232063328265</c:v>
                </c:pt>
                <c:pt idx="353">
                  <c:v>-0.0030398507975707635</c:v>
                </c:pt>
                <c:pt idx="354">
                  <c:v>0.0001391557702183842</c:v>
                </c:pt>
                <c:pt idx="355">
                  <c:v>-0.0073081581821325655</c:v>
                </c:pt>
                <c:pt idx="356">
                  <c:v>-0.004006278076726728</c:v>
                </c:pt>
                <c:pt idx="357">
                  <c:v>-0.002316779609740208</c:v>
                </c:pt>
                <c:pt idx="358">
                  <c:v>-0.0018124827217339498</c:v>
                </c:pt>
                <c:pt idx="359">
                  <c:v>0.003969446756233386</c:v>
                </c:pt>
                <c:pt idx="360">
                  <c:v>0.003977078892950027</c:v>
                </c:pt>
                <c:pt idx="361">
                  <c:v>0.003151629456528119</c:v>
                </c:pt>
                <c:pt idx="362">
                  <c:v>-0.009736085971847774</c:v>
                </c:pt>
                <c:pt idx="363">
                  <c:v>0.0016363661892329626</c:v>
                </c:pt>
                <c:pt idx="364">
                  <c:v>-0.0036098688583569676</c:v>
                </c:pt>
                <c:pt idx="365">
                  <c:v>0.003813154986062684</c:v>
                </c:pt>
                <c:pt idx="366">
                  <c:v>-8.124017004296169E-05</c:v>
                </c:pt>
                <c:pt idx="367">
                  <c:v>-0.005998651321352187</c:v>
                </c:pt>
                <c:pt idx="368">
                  <c:v>-0.007316017267465604</c:v>
                </c:pt>
                <c:pt idx="369">
                  <c:v>0.004936782203653349</c:v>
                </c:pt>
                <c:pt idx="370">
                  <c:v>0.004042806082893457</c:v>
                </c:pt>
                <c:pt idx="371">
                  <c:v>-0.0015667172923327442</c:v>
                </c:pt>
                <c:pt idx="372">
                  <c:v>-0.003876914489127229</c:v>
                </c:pt>
                <c:pt idx="373">
                  <c:v>0.005920598618774643</c:v>
                </c:pt>
                <c:pt idx="374">
                  <c:v>0.005026862274866326</c:v>
                </c:pt>
                <c:pt idx="375">
                  <c:v>0.007434646397550068</c:v>
                </c:pt>
                <c:pt idx="376">
                  <c:v>0.009184002185827031</c:v>
                </c:pt>
                <c:pt idx="377">
                  <c:v>0.008267231865651033</c:v>
                </c:pt>
                <c:pt idx="378">
                  <c:v>0.0007551088700558463</c:v>
                </c:pt>
                <c:pt idx="379">
                  <c:v>0.0069896655507593435</c:v>
                </c:pt>
                <c:pt idx="380">
                  <c:v>0.004414700814993721</c:v>
                </c:pt>
                <c:pt idx="381">
                  <c:v>0.003922115543399284</c:v>
                </c:pt>
                <c:pt idx="382">
                  <c:v>4.364142138241322E-06</c:v>
                </c:pt>
                <c:pt idx="383">
                  <c:v>-0.0036549826058697777</c:v>
                </c:pt>
                <c:pt idx="384">
                  <c:v>-0.002815634964132358</c:v>
                </c:pt>
                <c:pt idx="385">
                  <c:v>0.005727073084406685</c:v>
                </c:pt>
                <c:pt idx="386">
                  <c:v>0.004827005751700892</c:v>
                </c:pt>
                <c:pt idx="387">
                  <c:v>0.0015363775070923512</c:v>
                </c:pt>
                <c:pt idx="388">
                  <c:v>-0.002415301218777246</c:v>
                </c:pt>
                <c:pt idx="389">
                  <c:v>-0.00239535027133582</c:v>
                </c:pt>
                <c:pt idx="390">
                  <c:v>-0.0003001581705806663</c:v>
                </c:pt>
                <c:pt idx="391">
                  <c:v>0.005493358688724628</c:v>
                </c:pt>
                <c:pt idx="392">
                  <c:v>-0.004337427359893269</c:v>
                </c:pt>
                <c:pt idx="393">
                  <c:v>-0.006445084610177783</c:v>
                </c:pt>
                <c:pt idx="394">
                  <c:v>0.0020446646510767193</c:v>
                </c:pt>
                <c:pt idx="395">
                  <c:v>0.00829669204513309</c:v>
                </c:pt>
                <c:pt idx="396">
                  <c:v>0.005285587514913823</c:v>
                </c:pt>
                <c:pt idx="397">
                  <c:v>0.0042903562694654234</c:v>
                </c:pt>
                <c:pt idx="398">
                  <c:v>0.0026226136492066405</c:v>
                </c:pt>
                <c:pt idx="399">
                  <c:v>-0.0019266868814172768</c:v>
                </c:pt>
                <c:pt idx="400">
                  <c:v>0.005789745736908585</c:v>
                </c:pt>
                <c:pt idx="401">
                  <c:v>0.005012984200088651</c:v>
                </c:pt>
                <c:pt idx="402">
                  <c:v>-0.0019944547184139153</c:v>
                </c:pt>
                <c:pt idx="403">
                  <c:v>-0.0035664416830577363</c:v>
                </c:pt>
                <c:pt idx="404">
                  <c:v>0.0009392678029743378</c:v>
                </c:pt>
                <c:pt idx="405">
                  <c:v>0.0047786913131873</c:v>
                </c:pt>
                <c:pt idx="406">
                  <c:v>-0.00901856040728161</c:v>
                </c:pt>
                <c:pt idx="407">
                  <c:v>-0.006035293142546111</c:v>
                </c:pt>
                <c:pt idx="408">
                  <c:v>-0.006770495191577151</c:v>
                </c:pt>
                <c:pt idx="409">
                  <c:v>-0.0035835968856674423</c:v>
                </c:pt>
                <c:pt idx="410">
                  <c:v>-0.004179597473402465</c:v>
                </c:pt>
                <c:pt idx="411">
                  <c:v>-0.010190205927313638</c:v>
                </c:pt>
                <c:pt idx="412">
                  <c:v>0.0006592863210492529</c:v>
                </c:pt>
                <c:pt idx="413">
                  <c:v>0.0014839195833334636</c:v>
                </c:pt>
                <c:pt idx="414">
                  <c:v>-0.001536571440700563</c:v>
                </c:pt>
                <c:pt idx="415">
                  <c:v>-0.005096277708140078</c:v>
                </c:pt>
                <c:pt idx="416">
                  <c:v>-0.007432464295882408</c:v>
                </c:pt>
                <c:pt idx="417">
                  <c:v>-0.008207608988794685</c:v>
                </c:pt>
                <c:pt idx="418">
                  <c:v>-0.005560363684028748</c:v>
                </c:pt>
                <c:pt idx="419">
                  <c:v>-0.0037803978508884023</c:v>
                </c:pt>
                <c:pt idx="420">
                  <c:v>-0.007221067010336948</c:v>
                </c:pt>
                <c:pt idx="421">
                  <c:v>-0.0011477437639319894</c:v>
                </c:pt>
                <c:pt idx="422">
                  <c:v>0.0022148009848242394</c:v>
                </c:pt>
                <c:pt idx="423">
                  <c:v>-0.0018283658086592652</c:v>
                </c:pt>
                <c:pt idx="424">
                  <c:v>0.0021097357750343485</c:v>
                </c:pt>
                <c:pt idx="425">
                  <c:v>0.005287805233293388</c:v>
                </c:pt>
                <c:pt idx="426">
                  <c:v>0.005373948890397969</c:v>
                </c:pt>
                <c:pt idx="427">
                  <c:v>0.001979393879024964</c:v>
                </c:pt>
                <c:pt idx="428">
                  <c:v>0.002281429093656327</c:v>
                </c:pt>
                <c:pt idx="429">
                  <c:v>0.001391390592753094</c:v>
                </c:pt>
                <c:pt idx="430">
                  <c:v>0.003682544175112489</c:v>
                </c:pt>
                <c:pt idx="431">
                  <c:v>-0.0016105243511078744</c:v>
                </c:pt>
                <c:pt idx="432">
                  <c:v>-0.0052348603790998175</c:v>
                </c:pt>
                <c:pt idx="433">
                  <c:v>-0.0013026300285891364</c:v>
                </c:pt>
                <c:pt idx="434">
                  <c:v>-0.006068771325101949</c:v>
                </c:pt>
                <c:pt idx="435">
                  <c:v>-0.0033922061509172262</c:v>
                </c:pt>
                <c:pt idx="436">
                  <c:v>-0.00394303849925731</c:v>
                </c:pt>
                <c:pt idx="437">
                  <c:v>-0.00042746662395411623</c:v>
                </c:pt>
                <c:pt idx="438">
                  <c:v>-0.002958433407343665</c:v>
                </c:pt>
                <c:pt idx="439">
                  <c:v>-0.002781577107764591</c:v>
                </c:pt>
                <c:pt idx="440">
                  <c:v>-0.0049415299093633555</c:v>
                </c:pt>
                <c:pt idx="441">
                  <c:v>-0.006805488086697536</c:v>
                </c:pt>
                <c:pt idx="442">
                  <c:v>-0.001930910511707196</c:v>
                </c:pt>
                <c:pt idx="443">
                  <c:v>-0.0014043363743777915</c:v>
                </c:pt>
                <c:pt idx="444">
                  <c:v>-0.001499990866225409</c:v>
                </c:pt>
                <c:pt idx="445">
                  <c:v>0.002191665209662568</c:v>
                </c:pt>
                <c:pt idx="446">
                  <c:v>0.005379055168107447</c:v>
                </c:pt>
                <c:pt idx="447">
                  <c:v>-0.0014504946240604141</c:v>
                </c:pt>
                <c:pt idx="448">
                  <c:v>-0.0013861783597087622</c:v>
                </c:pt>
                <c:pt idx="449">
                  <c:v>0.004719111100633147</c:v>
                </c:pt>
                <c:pt idx="450">
                  <c:v>0.009198849893912255</c:v>
                </c:pt>
                <c:pt idx="451">
                  <c:v>0.0024514819677919865</c:v>
                </c:pt>
                <c:pt idx="452">
                  <c:v>-0.0014625022971536642</c:v>
                </c:pt>
                <c:pt idx="453">
                  <c:v>0.0048751100344130325</c:v>
                </c:pt>
                <c:pt idx="454">
                  <c:v>0.0061036760004685026</c:v>
                </c:pt>
                <c:pt idx="455">
                  <c:v>0.00248760347470647</c:v>
                </c:pt>
                <c:pt idx="456">
                  <c:v>0.000805868005336961</c:v>
                </c:pt>
                <c:pt idx="457">
                  <c:v>0.004881267134133328</c:v>
                </c:pt>
                <c:pt idx="458">
                  <c:v>0.006548876614313299</c:v>
                </c:pt>
                <c:pt idx="459">
                  <c:v>0.004658343902521875</c:v>
                </c:pt>
                <c:pt idx="460">
                  <c:v>-0.0023685455382000324</c:v>
                </c:pt>
                <c:pt idx="461">
                  <c:v>0.003550187632547275</c:v>
                </c:pt>
                <c:pt idx="462">
                  <c:v>0.005631842240230946</c:v>
                </c:pt>
                <c:pt idx="463">
                  <c:v>0.0013747856959634647</c:v>
                </c:pt>
                <c:pt idx="464">
                  <c:v>-0.001567772351829195</c:v>
                </c:pt>
                <c:pt idx="465">
                  <c:v>-0.0006664390942699018</c:v>
                </c:pt>
                <c:pt idx="466">
                  <c:v>0.0013266905597367504</c:v>
                </c:pt>
                <c:pt idx="467">
                  <c:v>-0.0013783707163267426</c:v>
                </c:pt>
                <c:pt idx="468">
                  <c:v>-0.005697422775460439</c:v>
                </c:pt>
                <c:pt idx="469">
                  <c:v>-0.00017721083091602277</c:v>
                </c:pt>
                <c:pt idx="470">
                  <c:v>0.0037997631999770916</c:v>
                </c:pt>
                <c:pt idx="471">
                  <c:v>-0.004193236671091316</c:v>
                </c:pt>
                <c:pt idx="472">
                  <c:v>-0.0010909223993205196</c:v>
                </c:pt>
                <c:pt idx="473">
                  <c:v>-0.002047571569536478</c:v>
                </c:pt>
                <c:pt idx="474">
                  <c:v>0.0004134650120803057</c:v>
                </c:pt>
                <c:pt idx="475">
                  <c:v>-0.00023335396957582005</c:v>
                </c:pt>
                <c:pt idx="476">
                  <c:v>-0.004580933974581686</c:v>
                </c:pt>
                <c:pt idx="477">
                  <c:v>-0.0025034105680660544</c:v>
                </c:pt>
                <c:pt idx="478">
                  <c:v>0.0007409945860520425</c:v>
                </c:pt>
                <c:pt idx="479">
                  <c:v>-0.004402588471704712</c:v>
                </c:pt>
                <c:pt idx="480">
                  <c:v>-0.005071154553865319</c:v>
                </c:pt>
                <c:pt idx="481">
                  <c:v>-3.6817402288157596E-05</c:v>
                </c:pt>
                <c:pt idx="482">
                  <c:v>0.002283344779540395</c:v>
                </c:pt>
                <c:pt idx="483">
                  <c:v>-0.0015961765125089027</c:v>
                </c:pt>
                <c:pt idx="484">
                  <c:v>0.001696229107577017</c:v>
                </c:pt>
                <c:pt idx="485">
                  <c:v>-0.0009141720071109817</c:v>
                </c:pt>
                <c:pt idx="486">
                  <c:v>-0.0011914970602282739</c:v>
                </c:pt>
                <c:pt idx="487">
                  <c:v>0.004190027073431579</c:v>
                </c:pt>
                <c:pt idx="488">
                  <c:v>-0.0016933885598525878</c:v>
                </c:pt>
                <c:pt idx="489">
                  <c:v>-0.0008966035090630434</c:v>
                </c:pt>
                <c:pt idx="490">
                  <c:v>0.004283046113844696</c:v>
                </c:pt>
                <c:pt idx="491">
                  <c:v>-0.0031752469785647237</c:v>
                </c:pt>
                <c:pt idx="492">
                  <c:v>-0.0015413910397706295</c:v>
                </c:pt>
                <c:pt idx="493">
                  <c:v>0.0009542603000889618</c:v>
                </c:pt>
                <c:pt idx="494">
                  <c:v>0.0025762032889759152</c:v>
                </c:pt>
                <c:pt idx="495">
                  <c:v>-0.000826793407424987</c:v>
                </c:pt>
                <c:pt idx="496">
                  <c:v>0.003965624299394052</c:v>
                </c:pt>
                <c:pt idx="497">
                  <c:v>0.0005776037571742632</c:v>
                </c:pt>
                <c:pt idx="498">
                  <c:v>0.002727726754823721</c:v>
                </c:pt>
                <c:pt idx="499">
                  <c:v>0.00038956915736544623</c:v>
                </c:pt>
                <c:pt idx="500">
                  <c:v>-0.0030689721766783717</c:v>
                </c:pt>
                <c:pt idx="501">
                  <c:v>-0.0058551858181788855</c:v>
                </c:pt>
                <c:pt idx="502">
                  <c:v>-0.0009096452940510087</c:v>
                </c:pt>
                <c:pt idx="503">
                  <c:v>-0.0028877416523254125</c:v>
                </c:pt>
                <c:pt idx="504">
                  <c:v>-0.004551061599555226</c:v>
                </c:pt>
                <c:pt idx="505">
                  <c:v>-0.0010142463751147</c:v>
                </c:pt>
                <c:pt idx="506">
                  <c:v>0.0004923067536709127</c:v>
                </c:pt>
                <c:pt idx="507">
                  <c:v>0.0016403714914276619</c:v>
                </c:pt>
                <c:pt idx="508">
                  <c:v>0.00015973070809561485</c:v>
                </c:pt>
                <c:pt idx="509">
                  <c:v>-0.0009247569204165986</c:v>
                </c:pt>
                <c:pt idx="510">
                  <c:v>0.002858735889424475</c:v>
                </c:pt>
                <c:pt idx="511">
                  <c:v>-0.0005109648214174805</c:v>
                </c:pt>
                <c:pt idx="512">
                  <c:v>-0.0005939056406608433</c:v>
                </c:pt>
                <c:pt idx="513">
                  <c:v>-0.0025458685218976954</c:v>
                </c:pt>
                <c:pt idx="514">
                  <c:v>0.0012399285654851968</c:v>
                </c:pt>
                <c:pt idx="515">
                  <c:v>-0.0018017101169242639</c:v>
                </c:pt>
                <c:pt idx="516">
                  <c:v>-0.001246560738288663</c:v>
                </c:pt>
                <c:pt idx="517">
                  <c:v>-0.0007340421440174403</c:v>
                </c:pt>
                <c:pt idx="518">
                  <c:v>-4.46914213674609E-05</c:v>
                </c:pt>
                <c:pt idx="519">
                  <c:v>0.0006874319719490056</c:v>
                </c:pt>
                <c:pt idx="520">
                  <c:v>0.00043717970518702574</c:v>
                </c:pt>
                <c:pt idx="521">
                  <c:v>-0.004264977468442569</c:v>
                </c:pt>
                <c:pt idx="522">
                  <c:v>0.0006687062003627189</c:v>
                </c:pt>
                <c:pt idx="523">
                  <c:v>0.0026307660538914084</c:v>
                </c:pt>
                <c:pt idx="524">
                  <c:v>-0.0021022530402851855</c:v>
                </c:pt>
                <c:pt idx="525">
                  <c:v>-0.0014182939971149123</c:v>
                </c:pt>
                <c:pt idx="526">
                  <c:v>0.002981959869750262</c:v>
                </c:pt>
                <c:pt idx="527">
                  <c:v>-0.0005681421248992027</c:v>
                </c:pt>
                <c:pt idx="528">
                  <c:v>-0.0007517364269144229</c:v>
                </c:pt>
                <c:pt idx="529">
                  <c:v>0.0003957189696689973</c:v>
                </c:pt>
                <c:pt idx="530">
                  <c:v>0.0014987529547576572</c:v>
                </c:pt>
                <c:pt idx="531">
                  <c:v>0.0006198189818077479</c:v>
                </c:pt>
                <c:pt idx="532">
                  <c:v>0.0017927303208388364</c:v>
                </c:pt>
                <c:pt idx="533">
                  <c:v>-0.0004607233540547143</c:v>
                </c:pt>
                <c:pt idx="534">
                  <c:v>0.00113229242750534</c:v>
                </c:pt>
                <c:pt idx="535">
                  <c:v>0.0034968661217843274</c:v>
                </c:pt>
                <c:pt idx="536">
                  <c:v>0.00013068067157418408</c:v>
                </c:pt>
                <c:pt idx="537">
                  <c:v>-0.0021990033439355655</c:v>
                </c:pt>
                <c:pt idx="538">
                  <c:v>0.0022638135830042056</c:v>
                </c:pt>
                <c:pt idx="539">
                  <c:v>0.001885419287253096</c:v>
                </c:pt>
                <c:pt idx="540">
                  <c:v>-0.0005245041818274718</c:v>
                </c:pt>
                <c:pt idx="541">
                  <c:v>0.0003815454204093011</c:v>
                </c:pt>
                <c:pt idx="542">
                  <c:v>0.0005808384539146648</c:v>
                </c:pt>
                <c:pt idx="543">
                  <c:v>-0.0008882809417082768</c:v>
                </c:pt>
                <c:pt idx="544">
                  <c:v>-0.00042259582606747023</c:v>
                </c:pt>
                <c:pt idx="545">
                  <c:v>-0.0007355332411174712</c:v>
                </c:pt>
                <c:pt idx="546">
                  <c:v>-0.0009378829324611444</c:v>
                </c:pt>
                <c:pt idx="547">
                  <c:v>0.00046886803136518773</c:v>
                </c:pt>
                <c:pt idx="548">
                  <c:v>-0.0012650409011051582</c:v>
                </c:pt>
                <c:pt idx="549">
                  <c:v>-0.0033157126528494713</c:v>
                </c:pt>
                <c:pt idx="550">
                  <c:v>0.0007816832523473176</c:v>
                </c:pt>
                <c:pt idx="551">
                  <c:v>-0.00037830548718194724</c:v>
                </c:pt>
                <c:pt idx="552">
                  <c:v>-0.001473502781768022</c:v>
                </c:pt>
                <c:pt idx="553">
                  <c:v>-0.0005880431917426454</c:v>
                </c:pt>
                <c:pt idx="554">
                  <c:v>-0.0002583280493702573</c:v>
                </c:pt>
                <c:pt idx="555">
                  <c:v>-0.0010182128154972644</c:v>
                </c:pt>
                <c:pt idx="556">
                  <c:v>5.7768181324762185E-05</c:v>
                </c:pt>
                <c:pt idx="557">
                  <c:v>0.000966851290702503</c:v>
                </c:pt>
                <c:pt idx="558">
                  <c:v>0.00026845058881785883</c:v>
                </c:pt>
                <c:pt idx="559">
                  <c:v>0.0020615381551677154</c:v>
                </c:pt>
                <c:pt idx="560">
                  <c:v>0.0008290279169654589</c:v>
                </c:pt>
                <c:pt idx="561">
                  <c:v>0.0006467303897577891</c:v>
                </c:pt>
                <c:pt idx="562">
                  <c:v>0.0013356312558375453</c:v>
                </c:pt>
                <c:pt idx="563">
                  <c:v>0.001190298959954693</c:v>
                </c:pt>
                <c:pt idx="564">
                  <c:v>0.00044480300471174376</c:v>
                </c:pt>
                <c:pt idx="565">
                  <c:v>0.0009669621682689038</c:v>
                </c:pt>
                <c:pt idx="566">
                  <c:v>0.0011959479351962197</c:v>
                </c:pt>
                <c:pt idx="567">
                  <c:v>0.0004960403787854218</c:v>
                </c:pt>
                <c:pt idx="568">
                  <c:v>0.0010614077709596966</c:v>
                </c:pt>
                <c:pt idx="569">
                  <c:v>-0.0007421189405128001</c:v>
                </c:pt>
                <c:pt idx="570">
                  <c:v>0.00016838523167354377</c:v>
                </c:pt>
                <c:pt idx="571">
                  <c:v>-0.0005695566528499689</c:v>
                </c:pt>
                <c:pt idx="572">
                  <c:v>-0.0005768225778535646</c:v>
                </c:pt>
                <c:pt idx="573">
                  <c:v>2.6718504768659223E-06</c:v>
                </c:pt>
                <c:pt idx="574">
                  <c:v>-0.0007060447554959528</c:v>
                </c:pt>
                <c:pt idx="575">
                  <c:v>-0.0006535952455112453</c:v>
                </c:pt>
                <c:pt idx="576">
                  <c:v>-0.001383797177260632</c:v>
                </c:pt>
                <c:pt idx="577">
                  <c:v>0.00012383714714483255</c:v>
                </c:pt>
                <c:pt idx="578">
                  <c:v>-7.607847918688422E-05</c:v>
                </c:pt>
                <c:pt idx="579">
                  <c:v>-0.00037651560103269443</c:v>
                </c:pt>
                <c:pt idx="580">
                  <c:v>-0.00027999444578631595</c:v>
                </c:pt>
                <c:pt idx="581">
                  <c:v>-0.00027626693211187136</c:v>
                </c:pt>
                <c:pt idx="582">
                  <c:v>-0.00020969038597100657</c:v>
                </c:pt>
                <c:pt idx="583">
                  <c:v>0.0003053062690647538</c:v>
                </c:pt>
                <c:pt idx="584">
                  <c:v>0.0002793949441141749</c:v>
                </c:pt>
                <c:pt idx="585">
                  <c:v>0.0001211168980321674</c:v>
                </c:pt>
                <c:pt idx="586">
                  <c:v>9.051122628040247E-05</c:v>
                </c:pt>
                <c:pt idx="587">
                  <c:v>0.00027466202163864076</c:v>
                </c:pt>
                <c:pt idx="588">
                  <c:v>-0.0003564031809093803</c:v>
                </c:pt>
                <c:pt idx="589">
                  <c:v>0.0003458954917273825</c:v>
                </c:pt>
                <c:pt idx="590">
                  <c:v>0.0009201720238008205</c:v>
                </c:pt>
                <c:pt idx="591">
                  <c:v>-0.00047244095785843615</c:v>
                </c:pt>
                <c:pt idx="592">
                  <c:v>8.018636426004401E-05</c:v>
                </c:pt>
                <c:pt idx="593">
                  <c:v>0.0006710998901748062</c:v>
                </c:pt>
                <c:pt idx="594">
                  <c:v>-0.00041725056541468494</c:v>
                </c:pt>
                <c:pt idx="595">
                  <c:v>0.00042832027552636484</c:v>
                </c:pt>
                <c:pt idx="596">
                  <c:v>0.0002730779363729621</c:v>
                </c:pt>
                <c:pt idx="597">
                  <c:v>-0.000593091768857222</c:v>
                </c:pt>
                <c:pt idx="598">
                  <c:v>-0.000340010628131027</c:v>
                </c:pt>
                <c:pt idx="599">
                  <c:v>0.0003139257134728776</c:v>
                </c:pt>
                <c:pt idx="600">
                  <c:v>-0.00033152829995919744</c:v>
                </c:pt>
                <c:pt idx="601">
                  <c:v>-0.00012562050505215288</c:v>
                </c:pt>
                <c:pt idx="602">
                  <c:v>0.00013047214493872372</c:v>
                </c:pt>
                <c:pt idx="603">
                  <c:v>3.068645192306022E-05</c:v>
                </c:pt>
                <c:pt idx="604">
                  <c:v>-0.00012477586599328585</c:v>
                </c:pt>
                <c:pt idx="605">
                  <c:v>-0.00021318645717720313</c:v>
                </c:pt>
                <c:pt idx="606">
                  <c:v>-0.0005096067668116884</c:v>
                </c:pt>
                <c:pt idx="607">
                  <c:v>-0.0003575629717986853</c:v>
                </c:pt>
                <c:pt idx="608">
                  <c:v>-6.529548575614483E-07</c:v>
                </c:pt>
                <c:pt idx="609">
                  <c:v>-0.0005619485930569993</c:v>
                </c:pt>
                <c:pt idx="610">
                  <c:v>-0.00016386075148071567</c:v>
                </c:pt>
                <c:pt idx="611">
                  <c:v>-0.00016564700549941597</c:v>
                </c:pt>
                <c:pt idx="612">
                  <c:v>-0.0002270387051249514</c:v>
                </c:pt>
                <c:pt idx="613">
                  <c:v>-0.0006419065796656942</c:v>
                </c:pt>
                <c:pt idx="614">
                  <c:v>-0.0008366362066610475</c:v>
                </c:pt>
                <c:pt idx="615">
                  <c:v>0.0008059847859424916</c:v>
                </c:pt>
                <c:pt idx="616">
                  <c:v>8.437455812142373E-06</c:v>
                </c:pt>
                <c:pt idx="617">
                  <c:v>0.00011302633218942762</c:v>
                </c:pt>
                <c:pt idx="618">
                  <c:v>0.0002993274199554289</c:v>
                </c:pt>
                <c:pt idx="619">
                  <c:v>9.876835574210481E-05</c:v>
                </c:pt>
                <c:pt idx="620">
                  <c:v>-0.00011884346217450292</c:v>
                </c:pt>
                <c:pt idx="621">
                  <c:v>0.0005334441386011495</c:v>
                </c:pt>
                <c:pt idx="622">
                  <c:v>0.00032489324593013464</c:v>
                </c:pt>
                <c:pt idx="623">
                  <c:v>0.0003291784057686389</c:v>
                </c:pt>
                <c:pt idx="624">
                  <c:v>0.0005151957209304444</c:v>
                </c:pt>
                <c:pt idx="625">
                  <c:v>0.0002750195814050353</c:v>
                </c:pt>
                <c:pt idx="626">
                  <c:v>0.000654462023034334</c:v>
                </c:pt>
                <c:pt idx="627">
                  <c:v>0.0006353953372927048</c:v>
                </c:pt>
                <c:pt idx="628">
                  <c:v>0.0004569529379055948</c:v>
                </c:pt>
                <c:pt idx="629">
                  <c:v>0.0004643057015933289</c:v>
                </c:pt>
                <c:pt idx="630">
                  <c:v>0.00046328497366966725</c:v>
                </c:pt>
                <c:pt idx="631">
                  <c:v>0.0002174531801490119</c:v>
                </c:pt>
                <c:pt idx="632">
                  <c:v>-3.359650962863175E-05</c:v>
                </c:pt>
                <c:pt idx="633">
                  <c:v>0.00030249581708145275</c:v>
                </c:pt>
                <c:pt idx="634">
                  <c:v>-0.00037757515438102777</c:v>
                </c:pt>
                <c:pt idx="635">
                  <c:v>-2.4540063349131204E-05</c:v>
                </c:pt>
                <c:pt idx="636">
                  <c:v>-2.383615777132653E-05</c:v>
                </c:pt>
                <c:pt idx="637">
                  <c:v>-2.902768304037435E-05</c:v>
                </c:pt>
                <c:pt idx="638">
                  <c:v>-3.127149288599594E-05</c:v>
                </c:pt>
                <c:pt idx="639">
                  <c:v>-2.997804422350605E-05</c:v>
                </c:pt>
                <c:pt idx="640">
                  <c:v>-3.281139715381287E-05</c:v>
                </c:pt>
                <c:pt idx="641">
                  <c:v>-3.505520699943446E-05</c:v>
                </c:pt>
                <c:pt idx="642">
                  <c:v>-3.670947376037079E-05</c:v>
                </c:pt>
                <c:pt idx="643">
                  <c:v>-4.897551604564152E-05</c:v>
                </c:pt>
                <c:pt idx="644">
                  <c:v>-8.836054022643345E-05</c:v>
                </c:pt>
                <c:pt idx="645">
                  <c:v>-6.76121697693305E-05</c:v>
                </c:pt>
                <c:pt idx="646">
                  <c:v>-6.926643653026686E-05</c:v>
                </c:pt>
                <c:pt idx="647">
                  <c:v>-7.445796179931468E-05</c:v>
                </c:pt>
                <c:pt idx="648">
                  <c:v>-6.844816845934284E-05</c:v>
                </c:pt>
                <c:pt idx="649">
                  <c:v>-6.715471979685293E-05</c:v>
                </c:pt>
                <c:pt idx="650">
                  <c:v>-7.942076208212367E-05</c:v>
                </c:pt>
                <c:pt idx="651">
                  <c:v>-6.633645172592896E-05</c:v>
                </c:pt>
                <c:pt idx="652">
                  <c:v>-6.209528764001285E-05</c:v>
                </c:pt>
                <c:pt idx="653">
                  <c:v>-6.198092514689347E-05</c:v>
                </c:pt>
                <c:pt idx="654">
                  <c:v>-5.302341638349541E-05</c:v>
                </c:pt>
                <c:pt idx="655">
                  <c:v>-5.526722622911696E-05</c:v>
                </c:pt>
                <c:pt idx="656">
                  <c:v>-4.689926055040418E-05</c:v>
                </c:pt>
                <c:pt idx="657">
                  <c:v>-3.6173122532950374E-05</c:v>
                </c:pt>
                <c:pt idx="658">
                  <c:v>-2.7215613769552316E-05</c:v>
                </c:pt>
                <c:pt idx="659">
                  <c:v>-2.120582042958052E-05</c:v>
                </c:pt>
                <c:pt idx="660">
                  <c:v>-8.121510073385736E-06</c:v>
                </c:pt>
                <c:pt idx="661">
                  <c:v>2.46455605327037E-07</c:v>
                </c:pt>
              </c:numCache>
            </c:numRef>
          </c:val>
          <c:smooth val="0"/>
        </c:ser>
        <c:marker val="1"/>
        <c:axId val="63509218"/>
        <c:axId val="34712051"/>
      </c:lineChart>
      <c:catAx>
        <c:axId val="635092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Lag in months</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712051"/>
        <c:crosses val="autoZero"/>
        <c:auto val="1"/>
        <c:lblOffset val="100"/>
        <c:tickLblSkip val="21"/>
        <c:noMultiLvlLbl val="0"/>
      </c:catAx>
      <c:valAx>
        <c:axId val="347120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Sample autocorrelation</a:t>
                </a:r>
              </a:p>
            </c:rich>
          </c:tx>
          <c:layout>
            <c:manualLayout>
              <c:xMode val="factor"/>
              <c:yMode val="factor"/>
              <c:x val="-0.001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50921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Three Month Treasury Bills
Jan 1945 - June 2000</a:t>
            </a:r>
          </a:p>
        </c:rich>
      </c:tx>
      <c:layout>
        <c:manualLayout>
          <c:xMode val="factor"/>
          <c:yMode val="factor"/>
          <c:x val="0.001"/>
          <c:y val="0"/>
        </c:manualLayout>
      </c:layout>
      <c:spPr>
        <a:noFill/>
        <a:ln>
          <a:noFill/>
        </a:ln>
      </c:spPr>
    </c:title>
    <c:plotArea>
      <c:layout>
        <c:manualLayout>
          <c:xMode val="edge"/>
          <c:yMode val="edge"/>
          <c:x val="0.0375"/>
          <c:y val="0.13875"/>
          <c:w val="0.9515"/>
          <c:h val="0.80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'Three monthTr Bill'!$D$172:$D$837</c:f>
              <c:numCache>
                <c:ptCount val="666"/>
                <c:pt idx="0">
                  <c:v>0.38</c:v>
                </c:pt>
                <c:pt idx="1">
                  <c:v>0.38</c:v>
                </c:pt>
                <c:pt idx="2">
                  <c:v>0.38</c:v>
                </c:pt>
                <c:pt idx="3">
                  <c:v>0.38</c:v>
                </c:pt>
                <c:pt idx="4">
                  <c:v>0.38</c:v>
                </c:pt>
                <c:pt idx="5">
                  <c:v>0.38</c:v>
                </c:pt>
                <c:pt idx="6">
                  <c:v>0.38</c:v>
                </c:pt>
                <c:pt idx="7">
                  <c:v>0.38</c:v>
                </c:pt>
                <c:pt idx="8">
                  <c:v>0.38</c:v>
                </c:pt>
                <c:pt idx="9">
                  <c:v>0.38</c:v>
                </c:pt>
                <c:pt idx="10">
                  <c:v>0.38</c:v>
                </c:pt>
                <c:pt idx="11">
                  <c:v>0.38</c:v>
                </c:pt>
                <c:pt idx="12">
                  <c:v>0.38</c:v>
                </c:pt>
                <c:pt idx="13">
                  <c:v>0.38</c:v>
                </c:pt>
                <c:pt idx="14">
                  <c:v>0.38</c:v>
                </c:pt>
                <c:pt idx="15">
                  <c:v>0.38</c:v>
                </c:pt>
                <c:pt idx="16">
                  <c:v>0.38</c:v>
                </c:pt>
                <c:pt idx="17">
                  <c:v>0.38</c:v>
                </c:pt>
                <c:pt idx="18">
                  <c:v>0.38</c:v>
                </c:pt>
                <c:pt idx="19">
                  <c:v>0.38</c:v>
                </c:pt>
                <c:pt idx="20">
                  <c:v>0.38</c:v>
                </c:pt>
                <c:pt idx="21">
                  <c:v>0.38</c:v>
                </c:pt>
                <c:pt idx="22">
                  <c:v>0.38</c:v>
                </c:pt>
                <c:pt idx="23">
                  <c:v>0.38</c:v>
                </c:pt>
                <c:pt idx="24">
                  <c:v>0.38</c:v>
                </c:pt>
                <c:pt idx="25">
                  <c:v>0.38</c:v>
                </c:pt>
                <c:pt idx="26">
                  <c:v>0.38</c:v>
                </c:pt>
                <c:pt idx="27">
                  <c:v>0.38</c:v>
                </c:pt>
                <c:pt idx="28">
                  <c:v>0.38</c:v>
                </c:pt>
                <c:pt idx="29">
                  <c:v>0.38</c:v>
                </c:pt>
                <c:pt idx="30">
                  <c:v>0.64</c:v>
                </c:pt>
                <c:pt idx="31">
                  <c:v>0.74</c:v>
                </c:pt>
                <c:pt idx="32">
                  <c:v>0.79</c:v>
                </c:pt>
                <c:pt idx="33">
                  <c:v>0.84</c:v>
                </c:pt>
                <c:pt idx="34">
                  <c:v>0.92</c:v>
                </c:pt>
                <c:pt idx="35">
                  <c:v>0.95</c:v>
                </c:pt>
                <c:pt idx="36">
                  <c:v>0.97</c:v>
                </c:pt>
                <c:pt idx="37">
                  <c:v>0.99</c:v>
                </c:pt>
                <c:pt idx="38">
                  <c:v>1</c:v>
                </c:pt>
                <c:pt idx="39">
                  <c:v>1</c:v>
                </c:pt>
                <c:pt idx="40">
                  <c:v>1</c:v>
                </c:pt>
                <c:pt idx="41">
                  <c:v>1</c:v>
                </c:pt>
                <c:pt idx="42">
                  <c:v>1</c:v>
                </c:pt>
                <c:pt idx="43">
                  <c:v>1.03</c:v>
                </c:pt>
                <c:pt idx="44">
                  <c:v>1.09</c:v>
                </c:pt>
                <c:pt idx="45">
                  <c:v>1.12</c:v>
                </c:pt>
                <c:pt idx="46">
                  <c:v>1.14</c:v>
                </c:pt>
                <c:pt idx="47">
                  <c:v>1.15</c:v>
                </c:pt>
                <c:pt idx="48">
                  <c:v>1.16</c:v>
                </c:pt>
                <c:pt idx="49">
                  <c:v>1.16</c:v>
                </c:pt>
                <c:pt idx="50">
                  <c:v>1.16</c:v>
                </c:pt>
                <c:pt idx="51">
                  <c:v>1.16</c:v>
                </c:pt>
                <c:pt idx="52">
                  <c:v>1.15</c:v>
                </c:pt>
                <c:pt idx="53">
                  <c:v>1.16</c:v>
                </c:pt>
                <c:pt idx="54">
                  <c:v>0.98</c:v>
                </c:pt>
                <c:pt idx="55">
                  <c:v>1.02</c:v>
                </c:pt>
                <c:pt idx="56">
                  <c:v>1.06</c:v>
                </c:pt>
                <c:pt idx="57">
                  <c:v>1.04</c:v>
                </c:pt>
                <c:pt idx="58">
                  <c:v>1.06</c:v>
                </c:pt>
                <c:pt idx="59">
                  <c:v>1.1</c:v>
                </c:pt>
                <c:pt idx="60">
                  <c:v>1.09</c:v>
                </c:pt>
                <c:pt idx="61">
                  <c:v>1.13</c:v>
                </c:pt>
                <c:pt idx="62">
                  <c:v>1.14</c:v>
                </c:pt>
                <c:pt idx="63">
                  <c:v>1.16</c:v>
                </c:pt>
                <c:pt idx="64">
                  <c:v>1.17</c:v>
                </c:pt>
                <c:pt idx="65">
                  <c:v>1.17</c:v>
                </c:pt>
                <c:pt idx="66">
                  <c:v>1.17</c:v>
                </c:pt>
                <c:pt idx="67">
                  <c:v>1.21</c:v>
                </c:pt>
                <c:pt idx="68">
                  <c:v>1.31</c:v>
                </c:pt>
                <c:pt idx="69">
                  <c:v>1.33</c:v>
                </c:pt>
                <c:pt idx="70">
                  <c:v>1.36</c:v>
                </c:pt>
                <c:pt idx="71">
                  <c:v>1.37</c:v>
                </c:pt>
                <c:pt idx="72">
                  <c:v>1.39</c:v>
                </c:pt>
                <c:pt idx="73">
                  <c:v>1.39</c:v>
                </c:pt>
                <c:pt idx="74">
                  <c:v>1.42</c:v>
                </c:pt>
                <c:pt idx="75">
                  <c:v>1.52</c:v>
                </c:pt>
                <c:pt idx="76">
                  <c:v>1.58</c:v>
                </c:pt>
                <c:pt idx="77">
                  <c:v>1.5</c:v>
                </c:pt>
                <c:pt idx="78">
                  <c:v>1.59</c:v>
                </c:pt>
                <c:pt idx="79">
                  <c:v>1.64</c:v>
                </c:pt>
                <c:pt idx="80">
                  <c:v>1.65</c:v>
                </c:pt>
                <c:pt idx="81">
                  <c:v>1.61</c:v>
                </c:pt>
                <c:pt idx="82">
                  <c:v>1.61</c:v>
                </c:pt>
                <c:pt idx="83">
                  <c:v>1.73</c:v>
                </c:pt>
                <c:pt idx="84">
                  <c:v>1.69</c:v>
                </c:pt>
                <c:pt idx="85">
                  <c:v>1.57</c:v>
                </c:pt>
                <c:pt idx="86">
                  <c:v>1.66</c:v>
                </c:pt>
                <c:pt idx="87">
                  <c:v>1.62</c:v>
                </c:pt>
                <c:pt idx="88">
                  <c:v>1.71</c:v>
                </c:pt>
                <c:pt idx="89">
                  <c:v>1.7</c:v>
                </c:pt>
                <c:pt idx="90">
                  <c:v>1.82</c:v>
                </c:pt>
                <c:pt idx="91">
                  <c:v>1.88</c:v>
                </c:pt>
                <c:pt idx="92">
                  <c:v>1.79</c:v>
                </c:pt>
                <c:pt idx="93">
                  <c:v>1.78</c:v>
                </c:pt>
                <c:pt idx="94">
                  <c:v>1.86</c:v>
                </c:pt>
                <c:pt idx="95">
                  <c:v>2.13</c:v>
                </c:pt>
                <c:pt idx="96">
                  <c:v>2.04</c:v>
                </c:pt>
                <c:pt idx="97">
                  <c:v>2.02</c:v>
                </c:pt>
                <c:pt idx="98">
                  <c:v>2.08</c:v>
                </c:pt>
                <c:pt idx="99">
                  <c:v>2.18</c:v>
                </c:pt>
                <c:pt idx="100">
                  <c:v>2.2</c:v>
                </c:pt>
                <c:pt idx="101">
                  <c:v>2.23</c:v>
                </c:pt>
                <c:pt idx="102">
                  <c:v>2.1</c:v>
                </c:pt>
                <c:pt idx="103">
                  <c:v>2.09</c:v>
                </c:pt>
                <c:pt idx="104">
                  <c:v>1.88</c:v>
                </c:pt>
                <c:pt idx="105">
                  <c:v>1.4</c:v>
                </c:pt>
                <c:pt idx="106">
                  <c:v>1.43</c:v>
                </c:pt>
                <c:pt idx="107">
                  <c:v>1.63</c:v>
                </c:pt>
                <c:pt idx="108">
                  <c:v>1.21</c:v>
                </c:pt>
                <c:pt idx="109">
                  <c:v>0.98</c:v>
                </c:pt>
                <c:pt idx="110">
                  <c:v>1.05</c:v>
                </c:pt>
                <c:pt idx="111">
                  <c:v>1.01</c:v>
                </c:pt>
                <c:pt idx="112">
                  <c:v>0.78</c:v>
                </c:pt>
                <c:pt idx="113">
                  <c:v>0.65</c:v>
                </c:pt>
                <c:pt idx="114">
                  <c:v>0.71</c:v>
                </c:pt>
                <c:pt idx="115">
                  <c:v>0.89</c:v>
                </c:pt>
                <c:pt idx="116">
                  <c:v>1.01</c:v>
                </c:pt>
                <c:pt idx="117">
                  <c:v>0.99</c:v>
                </c:pt>
                <c:pt idx="118">
                  <c:v>0.95</c:v>
                </c:pt>
                <c:pt idx="119">
                  <c:v>1.17</c:v>
                </c:pt>
                <c:pt idx="120">
                  <c:v>1.26</c:v>
                </c:pt>
                <c:pt idx="121">
                  <c:v>1.18</c:v>
                </c:pt>
                <c:pt idx="122">
                  <c:v>1.33</c:v>
                </c:pt>
                <c:pt idx="123">
                  <c:v>1.62</c:v>
                </c:pt>
                <c:pt idx="124">
                  <c:v>1.49</c:v>
                </c:pt>
                <c:pt idx="125">
                  <c:v>1.43</c:v>
                </c:pt>
                <c:pt idx="126">
                  <c:v>1.62</c:v>
                </c:pt>
                <c:pt idx="127">
                  <c:v>1.88</c:v>
                </c:pt>
                <c:pt idx="128">
                  <c:v>2.09</c:v>
                </c:pt>
                <c:pt idx="129">
                  <c:v>2.26</c:v>
                </c:pt>
                <c:pt idx="130">
                  <c:v>2.22</c:v>
                </c:pt>
                <c:pt idx="131">
                  <c:v>2.56</c:v>
                </c:pt>
                <c:pt idx="132">
                  <c:v>2.46</c:v>
                </c:pt>
                <c:pt idx="133">
                  <c:v>2.37</c:v>
                </c:pt>
                <c:pt idx="134">
                  <c:v>2.31</c:v>
                </c:pt>
                <c:pt idx="135">
                  <c:v>2.61</c:v>
                </c:pt>
                <c:pt idx="136">
                  <c:v>2.65</c:v>
                </c:pt>
                <c:pt idx="137">
                  <c:v>2.53</c:v>
                </c:pt>
                <c:pt idx="138">
                  <c:v>2.33</c:v>
                </c:pt>
                <c:pt idx="139">
                  <c:v>2.61</c:v>
                </c:pt>
                <c:pt idx="140">
                  <c:v>2.85</c:v>
                </c:pt>
                <c:pt idx="141">
                  <c:v>2.96</c:v>
                </c:pt>
                <c:pt idx="142">
                  <c:v>3</c:v>
                </c:pt>
                <c:pt idx="143">
                  <c:v>3.23</c:v>
                </c:pt>
                <c:pt idx="144">
                  <c:v>3.21</c:v>
                </c:pt>
                <c:pt idx="145">
                  <c:v>3.16</c:v>
                </c:pt>
                <c:pt idx="146">
                  <c:v>3.14</c:v>
                </c:pt>
                <c:pt idx="147">
                  <c:v>3.11</c:v>
                </c:pt>
                <c:pt idx="148">
                  <c:v>3.04</c:v>
                </c:pt>
                <c:pt idx="149">
                  <c:v>3.32</c:v>
                </c:pt>
                <c:pt idx="150">
                  <c:v>3.16</c:v>
                </c:pt>
                <c:pt idx="151">
                  <c:v>3.4</c:v>
                </c:pt>
                <c:pt idx="152">
                  <c:v>3.58</c:v>
                </c:pt>
                <c:pt idx="153">
                  <c:v>3.59</c:v>
                </c:pt>
                <c:pt idx="154">
                  <c:v>3.34</c:v>
                </c:pt>
                <c:pt idx="155">
                  <c:v>3.1</c:v>
                </c:pt>
                <c:pt idx="156">
                  <c:v>2.6</c:v>
                </c:pt>
                <c:pt idx="157">
                  <c:v>1.56</c:v>
                </c:pt>
                <c:pt idx="158">
                  <c:v>1.35</c:v>
                </c:pt>
                <c:pt idx="159">
                  <c:v>1.13</c:v>
                </c:pt>
                <c:pt idx="160">
                  <c:v>1.05</c:v>
                </c:pt>
                <c:pt idx="161">
                  <c:v>0.88</c:v>
                </c:pt>
                <c:pt idx="162">
                  <c:v>0.96</c:v>
                </c:pt>
                <c:pt idx="163">
                  <c:v>1.69</c:v>
                </c:pt>
                <c:pt idx="164">
                  <c:v>2.48</c:v>
                </c:pt>
                <c:pt idx="165">
                  <c:v>2.79</c:v>
                </c:pt>
                <c:pt idx="166">
                  <c:v>2.76</c:v>
                </c:pt>
                <c:pt idx="167">
                  <c:v>2.81</c:v>
                </c:pt>
                <c:pt idx="168">
                  <c:v>2.84</c:v>
                </c:pt>
                <c:pt idx="169">
                  <c:v>2.71</c:v>
                </c:pt>
                <c:pt idx="170">
                  <c:v>2.85</c:v>
                </c:pt>
                <c:pt idx="171">
                  <c:v>2.96</c:v>
                </c:pt>
                <c:pt idx="172">
                  <c:v>2.85</c:v>
                </c:pt>
                <c:pt idx="173">
                  <c:v>3.25</c:v>
                </c:pt>
                <c:pt idx="174">
                  <c:v>3.24</c:v>
                </c:pt>
                <c:pt idx="175">
                  <c:v>3.36</c:v>
                </c:pt>
                <c:pt idx="176">
                  <c:v>4</c:v>
                </c:pt>
                <c:pt idx="177">
                  <c:v>4.12</c:v>
                </c:pt>
                <c:pt idx="178">
                  <c:v>4.21</c:v>
                </c:pt>
                <c:pt idx="179">
                  <c:v>4.57</c:v>
                </c:pt>
                <c:pt idx="180">
                  <c:v>4.44</c:v>
                </c:pt>
                <c:pt idx="181">
                  <c:v>3.96</c:v>
                </c:pt>
                <c:pt idx="182">
                  <c:v>3.44</c:v>
                </c:pt>
                <c:pt idx="183">
                  <c:v>3.25</c:v>
                </c:pt>
                <c:pt idx="184">
                  <c:v>3.39</c:v>
                </c:pt>
                <c:pt idx="185">
                  <c:v>2.64</c:v>
                </c:pt>
                <c:pt idx="186">
                  <c:v>2.4</c:v>
                </c:pt>
                <c:pt idx="187">
                  <c:v>2.29</c:v>
                </c:pt>
                <c:pt idx="188">
                  <c:v>2.49</c:v>
                </c:pt>
                <c:pt idx="189">
                  <c:v>2.43</c:v>
                </c:pt>
                <c:pt idx="190">
                  <c:v>2.39</c:v>
                </c:pt>
                <c:pt idx="191">
                  <c:v>2.27</c:v>
                </c:pt>
                <c:pt idx="192">
                  <c:v>2.3</c:v>
                </c:pt>
                <c:pt idx="193">
                  <c:v>2.41</c:v>
                </c:pt>
                <c:pt idx="194">
                  <c:v>2.42</c:v>
                </c:pt>
                <c:pt idx="195">
                  <c:v>2.33</c:v>
                </c:pt>
                <c:pt idx="196">
                  <c:v>2.29</c:v>
                </c:pt>
                <c:pt idx="197">
                  <c:v>2.36</c:v>
                </c:pt>
                <c:pt idx="198">
                  <c:v>2.27</c:v>
                </c:pt>
                <c:pt idx="199">
                  <c:v>2.4</c:v>
                </c:pt>
                <c:pt idx="200">
                  <c:v>2.3</c:v>
                </c:pt>
                <c:pt idx="201">
                  <c:v>2.35</c:v>
                </c:pt>
                <c:pt idx="202">
                  <c:v>2.46</c:v>
                </c:pt>
                <c:pt idx="203">
                  <c:v>2.62</c:v>
                </c:pt>
                <c:pt idx="204">
                  <c:v>2.75</c:v>
                </c:pt>
                <c:pt idx="205">
                  <c:v>2.76</c:v>
                </c:pt>
                <c:pt idx="206">
                  <c:v>2.72</c:v>
                </c:pt>
                <c:pt idx="207">
                  <c:v>2.74</c:v>
                </c:pt>
                <c:pt idx="208">
                  <c:v>2.7</c:v>
                </c:pt>
                <c:pt idx="209">
                  <c:v>2.72</c:v>
                </c:pt>
                <c:pt idx="210">
                  <c:v>2.94</c:v>
                </c:pt>
                <c:pt idx="211">
                  <c:v>2.84</c:v>
                </c:pt>
                <c:pt idx="212">
                  <c:v>2.79</c:v>
                </c:pt>
                <c:pt idx="213">
                  <c:v>2.75</c:v>
                </c:pt>
                <c:pt idx="214">
                  <c:v>2.8</c:v>
                </c:pt>
                <c:pt idx="215">
                  <c:v>2.86</c:v>
                </c:pt>
                <c:pt idx="216">
                  <c:v>2.91</c:v>
                </c:pt>
                <c:pt idx="217">
                  <c:v>2.92</c:v>
                </c:pt>
                <c:pt idx="218">
                  <c:v>2.9</c:v>
                </c:pt>
                <c:pt idx="219">
                  <c:v>2.91</c:v>
                </c:pt>
                <c:pt idx="220">
                  <c:v>2.92</c:v>
                </c:pt>
                <c:pt idx="221">
                  <c:v>3</c:v>
                </c:pt>
                <c:pt idx="222">
                  <c:v>3.14</c:v>
                </c:pt>
                <c:pt idx="223">
                  <c:v>3.32</c:v>
                </c:pt>
                <c:pt idx="224">
                  <c:v>3.38</c:v>
                </c:pt>
                <c:pt idx="225">
                  <c:v>3.45</c:v>
                </c:pt>
                <c:pt idx="226">
                  <c:v>3.52</c:v>
                </c:pt>
                <c:pt idx="227">
                  <c:v>3.52</c:v>
                </c:pt>
                <c:pt idx="228">
                  <c:v>3.53</c:v>
                </c:pt>
                <c:pt idx="229">
                  <c:v>3.53</c:v>
                </c:pt>
                <c:pt idx="230">
                  <c:v>3.55</c:v>
                </c:pt>
                <c:pt idx="231">
                  <c:v>3.48</c:v>
                </c:pt>
                <c:pt idx="232">
                  <c:v>3.48</c:v>
                </c:pt>
                <c:pt idx="233">
                  <c:v>3.48</c:v>
                </c:pt>
                <c:pt idx="234">
                  <c:v>3.48</c:v>
                </c:pt>
                <c:pt idx="235">
                  <c:v>3.51</c:v>
                </c:pt>
                <c:pt idx="236">
                  <c:v>3.53</c:v>
                </c:pt>
                <c:pt idx="237">
                  <c:v>3.58</c:v>
                </c:pt>
                <c:pt idx="238">
                  <c:v>3.62</c:v>
                </c:pt>
                <c:pt idx="239">
                  <c:v>3.86</c:v>
                </c:pt>
                <c:pt idx="240">
                  <c:v>3.83</c:v>
                </c:pt>
                <c:pt idx="241">
                  <c:v>3.93</c:v>
                </c:pt>
                <c:pt idx="242">
                  <c:v>3.94</c:v>
                </c:pt>
                <c:pt idx="243">
                  <c:v>3.93</c:v>
                </c:pt>
                <c:pt idx="244">
                  <c:v>3.9</c:v>
                </c:pt>
                <c:pt idx="245">
                  <c:v>3.81</c:v>
                </c:pt>
                <c:pt idx="246">
                  <c:v>3.83</c:v>
                </c:pt>
                <c:pt idx="247">
                  <c:v>3.84</c:v>
                </c:pt>
                <c:pt idx="248">
                  <c:v>3.91</c:v>
                </c:pt>
                <c:pt idx="249">
                  <c:v>4.03</c:v>
                </c:pt>
                <c:pt idx="250">
                  <c:v>4.08</c:v>
                </c:pt>
                <c:pt idx="251">
                  <c:v>4.36</c:v>
                </c:pt>
                <c:pt idx="252">
                  <c:v>4.6</c:v>
                </c:pt>
                <c:pt idx="253">
                  <c:v>4.67</c:v>
                </c:pt>
                <c:pt idx="254">
                  <c:v>4.63</c:v>
                </c:pt>
                <c:pt idx="255">
                  <c:v>4.61</c:v>
                </c:pt>
                <c:pt idx="256">
                  <c:v>4.64</c:v>
                </c:pt>
                <c:pt idx="257">
                  <c:v>4.54</c:v>
                </c:pt>
                <c:pt idx="258">
                  <c:v>4.86</c:v>
                </c:pt>
                <c:pt idx="259">
                  <c:v>4.93</c:v>
                </c:pt>
                <c:pt idx="260">
                  <c:v>5.36</c:v>
                </c:pt>
                <c:pt idx="261">
                  <c:v>5.39</c:v>
                </c:pt>
                <c:pt idx="262">
                  <c:v>5.34</c:v>
                </c:pt>
                <c:pt idx="263">
                  <c:v>5.01</c:v>
                </c:pt>
                <c:pt idx="264">
                  <c:v>4.76</c:v>
                </c:pt>
                <c:pt idx="265">
                  <c:v>4.56</c:v>
                </c:pt>
                <c:pt idx="266">
                  <c:v>4.29</c:v>
                </c:pt>
                <c:pt idx="267">
                  <c:v>3.86</c:v>
                </c:pt>
                <c:pt idx="268">
                  <c:v>3.64</c:v>
                </c:pt>
                <c:pt idx="269">
                  <c:v>3.48</c:v>
                </c:pt>
                <c:pt idx="270">
                  <c:v>4.31</c:v>
                </c:pt>
                <c:pt idx="271">
                  <c:v>4.27</c:v>
                </c:pt>
                <c:pt idx="272">
                  <c:v>4.45</c:v>
                </c:pt>
                <c:pt idx="273">
                  <c:v>4.59</c:v>
                </c:pt>
                <c:pt idx="274">
                  <c:v>4.76</c:v>
                </c:pt>
                <c:pt idx="275">
                  <c:v>5.01</c:v>
                </c:pt>
                <c:pt idx="276">
                  <c:v>5.08</c:v>
                </c:pt>
                <c:pt idx="277">
                  <c:v>4.97</c:v>
                </c:pt>
                <c:pt idx="278">
                  <c:v>5.15</c:v>
                </c:pt>
                <c:pt idx="279">
                  <c:v>5.37</c:v>
                </c:pt>
                <c:pt idx="280">
                  <c:v>5.62</c:v>
                </c:pt>
                <c:pt idx="281">
                  <c:v>5.55</c:v>
                </c:pt>
                <c:pt idx="282">
                  <c:v>5.38</c:v>
                </c:pt>
                <c:pt idx="283">
                  <c:v>5.09</c:v>
                </c:pt>
                <c:pt idx="284">
                  <c:v>5.2</c:v>
                </c:pt>
                <c:pt idx="285">
                  <c:v>5.34</c:v>
                </c:pt>
                <c:pt idx="286">
                  <c:v>5.49</c:v>
                </c:pt>
                <c:pt idx="287">
                  <c:v>5.92</c:v>
                </c:pt>
                <c:pt idx="288">
                  <c:v>6.18</c:v>
                </c:pt>
                <c:pt idx="289">
                  <c:v>6.16</c:v>
                </c:pt>
                <c:pt idx="290">
                  <c:v>6.08</c:v>
                </c:pt>
                <c:pt idx="291">
                  <c:v>6.16</c:v>
                </c:pt>
                <c:pt idx="292">
                  <c:v>6.08</c:v>
                </c:pt>
                <c:pt idx="293">
                  <c:v>6.49</c:v>
                </c:pt>
                <c:pt idx="294">
                  <c:v>7.01</c:v>
                </c:pt>
                <c:pt idx="295">
                  <c:v>7.01</c:v>
                </c:pt>
                <c:pt idx="296">
                  <c:v>7.13</c:v>
                </c:pt>
                <c:pt idx="297">
                  <c:v>7.04</c:v>
                </c:pt>
                <c:pt idx="298">
                  <c:v>7.2</c:v>
                </c:pt>
                <c:pt idx="299">
                  <c:v>7.72</c:v>
                </c:pt>
                <c:pt idx="300">
                  <c:v>7.92</c:v>
                </c:pt>
                <c:pt idx="301">
                  <c:v>7.16</c:v>
                </c:pt>
                <c:pt idx="302">
                  <c:v>6.71</c:v>
                </c:pt>
                <c:pt idx="303">
                  <c:v>6.48</c:v>
                </c:pt>
                <c:pt idx="304">
                  <c:v>7.03</c:v>
                </c:pt>
                <c:pt idx="305">
                  <c:v>6.74</c:v>
                </c:pt>
                <c:pt idx="306">
                  <c:v>6.47</c:v>
                </c:pt>
                <c:pt idx="307">
                  <c:v>6.41</c:v>
                </c:pt>
                <c:pt idx="308">
                  <c:v>6.24</c:v>
                </c:pt>
                <c:pt idx="309">
                  <c:v>5.93</c:v>
                </c:pt>
                <c:pt idx="310">
                  <c:v>5.29</c:v>
                </c:pt>
                <c:pt idx="311">
                  <c:v>4.86</c:v>
                </c:pt>
                <c:pt idx="312">
                  <c:v>4.49</c:v>
                </c:pt>
                <c:pt idx="313">
                  <c:v>3.78</c:v>
                </c:pt>
                <c:pt idx="314">
                  <c:v>3.33</c:v>
                </c:pt>
                <c:pt idx="315">
                  <c:v>3.78</c:v>
                </c:pt>
                <c:pt idx="316">
                  <c:v>4.14</c:v>
                </c:pt>
                <c:pt idx="317">
                  <c:v>4.7</c:v>
                </c:pt>
                <c:pt idx="318">
                  <c:v>5.41</c:v>
                </c:pt>
                <c:pt idx="319">
                  <c:v>5.08</c:v>
                </c:pt>
                <c:pt idx="320">
                  <c:v>4.67</c:v>
                </c:pt>
                <c:pt idx="321">
                  <c:v>4.49</c:v>
                </c:pt>
                <c:pt idx="322">
                  <c:v>4.19</c:v>
                </c:pt>
                <c:pt idx="323">
                  <c:v>4.02</c:v>
                </c:pt>
                <c:pt idx="324">
                  <c:v>3.41</c:v>
                </c:pt>
                <c:pt idx="325">
                  <c:v>3.18</c:v>
                </c:pt>
                <c:pt idx="326">
                  <c:v>3.72</c:v>
                </c:pt>
                <c:pt idx="327">
                  <c:v>3.72</c:v>
                </c:pt>
                <c:pt idx="328">
                  <c:v>3.65</c:v>
                </c:pt>
                <c:pt idx="329">
                  <c:v>3.87</c:v>
                </c:pt>
                <c:pt idx="330">
                  <c:v>4.06</c:v>
                </c:pt>
                <c:pt idx="331">
                  <c:v>4.01</c:v>
                </c:pt>
                <c:pt idx="332">
                  <c:v>4.65</c:v>
                </c:pt>
                <c:pt idx="333">
                  <c:v>4.72</c:v>
                </c:pt>
                <c:pt idx="334">
                  <c:v>4.78</c:v>
                </c:pt>
                <c:pt idx="335">
                  <c:v>5.06</c:v>
                </c:pt>
                <c:pt idx="336">
                  <c:v>5.31</c:v>
                </c:pt>
                <c:pt idx="337">
                  <c:v>5.56</c:v>
                </c:pt>
                <c:pt idx="338">
                  <c:v>6.05</c:v>
                </c:pt>
                <c:pt idx="339">
                  <c:v>6.29</c:v>
                </c:pt>
                <c:pt idx="340">
                  <c:v>6.35</c:v>
                </c:pt>
                <c:pt idx="341">
                  <c:v>7.19</c:v>
                </c:pt>
                <c:pt idx="342">
                  <c:v>8.02</c:v>
                </c:pt>
                <c:pt idx="343">
                  <c:v>8.67</c:v>
                </c:pt>
                <c:pt idx="344">
                  <c:v>8.48</c:v>
                </c:pt>
                <c:pt idx="345">
                  <c:v>7.16</c:v>
                </c:pt>
                <c:pt idx="346">
                  <c:v>7.87</c:v>
                </c:pt>
                <c:pt idx="347">
                  <c:v>7.37</c:v>
                </c:pt>
                <c:pt idx="348">
                  <c:v>7.76</c:v>
                </c:pt>
                <c:pt idx="349">
                  <c:v>7.06</c:v>
                </c:pt>
                <c:pt idx="350">
                  <c:v>7.99</c:v>
                </c:pt>
                <c:pt idx="351">
                  <c:v>8.23</c:v>
                </c:pt>
                <c:pt idx="352">
                  <c:v>8.43</c:v>
                </c:pt>
                <c:pt idx="353">
                  <c:v>8.15</c:v>
                </c:pt>
                <c:pt idx="354">
                  <c:v>7.75</c:v>
                </c:pt>
                <c:pt idx="355">
                  <c:v>8.75</c:v>
                </c:pt>
                <c:pt idx="356">
                  <c:v>8.37</c:v>
                </c:pt>
                <c:pt idx="357">
                  <c:v>7.24</c:v>
                </c:pt>
                <c:pt idx="358">
                  <c:v>7.59</c:v>
                </c:pt>
                <c:pt idx="359">
                  <c:v>7.18</c:v>
                </c:pt>
                <c:pt idx="360">
                  <c:v>6.49</c:v>
                </c:pt>
                <c:pt idx="361">
                  <c:v>5.59</c:v>
                </c:pt>
                <c:pt idx="362">
                  <c:v>5.55</c:v>
                </c:pt>
                <c:pt idx="363">
                  <c:v>5.69</c:v>
                </c:pt>
                <c:pt idx="364">
                  <c:v>5.32</c:v>
                </c:pt>
                <c:pt idx="365">
                  <c:v>5.2</c:v>
                </c:pt>
                <c:pt idx="366">
                  <c:v>6.17</c:v>
                </c:pt>
                <c:pt idx="367">
                  <c:v>6.46</c:v>
                </c:pt>
                <c:pt idx="368">
                  <c:v>6.38</c:v>
                </c:pt>
                <c:pt idx="369">
                  <c:v>6.08</c:v>
                </c:pt>
                <c:pt idx="370">
                  <c:v>5.47</c:v>
                </c:pt>
                <c:pt idx="371">
                  <c:v>5.5</c:v>
                </c:pt>
                <c:pt idx="372">
                  <c:v>4.96</c:v>
                </c:pt>
                <c:pt idx="373">
                  <c:v>4.85</c:v>
                </c:pt>
                <c:pt idx="374">
                  <c:v>5.05</c:v>
                </c:pt>
                <c:pt idx="375">
                  <c:v>4.88</c:v>
                </c:pt>
                <c:pt idx="376">
                  <c:v>5.19</c:v>
                </c:pt>
                <c:pt idx="377">
                  <c:v>5.45</c:v>
                </c:pt>
                <c:pt idx="378">
                  <c:v>5.28</c:v>
                </c:pt>
                <c:pt idx="379">
                  <c:v>5.15</c:v>
                </c:pt>
                <c:pt idx="380">
                  <c:v>5.08</c:v>
                </c:pt>
                <c:pt idx="381">
                  <c:v>4.93</c:v>
                </c:pt>
                <c:pt idx="382">
                  <c:v>4.81</c:v>
                </c:pt>
                <c:pt idx="383">
                  <c:v>4.36</c:v>
                </c:pt>
                <c:pt idx="384">
                  <c:v>4.6</c:v>
                </c:pt>
                <c:pt idx="385">
                  <c:v>4.66</c:v>
                </c:pt>
                <c:pt idx="386">
                  <c:v>4.61</c:v>
                </c:pt>
                <c:pt idx="387">
                  <c:v>4.54</c:v>
                </c:pt>
                <c:pt idx="388">
                  <c:v>4.94</c:v>
                </c:pt>
                <c:pt idx="389">
                  <c:v>5</c:v>
                </c:pt>
                <c:pt idx="390">
                  <c:v>5.14</c:v>
                </c:pt>
                <c:pt idx="391">
                  <c:v>5.5</c:v>
                </c:pt>
                <c:pt idx="392">
                  <c:v>5.77</c:v>
                </c:pt>
                <c:pt idx="393">
                  <c:v>6.19</c:v>
                </c:pt>
                <c:pt idx="394">
                  <c:v>6.16</c:v>
                </c:pt>
                <c:pt idx="395">
                  <c:v>6.06</c:v>
                </c:pt>
                <c:pt idx="396">
                  <c:v>6.45</c:v>
                </c:pt>
                <c:pt idx="397">
                  <c:v>6.46</c:v>
                </c:pt>
                <c:pt idx="398">
                  <c:v>6.32</c:v>
                </c:pt>
                <c:pt idx="399">
                  <c:v>6.31</c:v>
                </c:pt>
                <c:pt idx="400">
                  <c:v>6.43</c:v>
                </c:pt>
                <c:pt idx="401">
                  <c:v>6.71</c:v>
                </c:pt>
                <c:pt idx="402">
                  <c:v>7.08</c:v>
                </c:pt>
                <c:pt idx="403">
                  <c:v>7.04</c:v>
                </c:pt>
                <c:pt idx="404">
                  <c:v>7.84</c:v>
                </c:pt>
                <c:pt idx="405">
                  <c:v>8.13</c:v>
                </c:pt>
                <c:pt idx="406">
                  <c:v>8.79</c:v>
                </c:pt>
                <c:pt idx="407">
                  <c:v>9.12</c:v>
                </c:pt>
                <c:pt idx="408">
                  <c:v>9.35</c:v>
                </c:pt>
                <c:pt idx="409">
                  <c:v>9.27</c:v>
                </c:pt>
                <c:pt idx="410">
                  <c:v>9.46</c:v>
                </c:pt>
                <c:pt idx="411">
                  <c:v>9.49</c:v>
                </c:pt>
                <c:pt idx="412">
                  <c:v>9.58</c:v>
                </c:pt>
                <c:pt idx="413">
                  <c:v>9.05</c:v>
                </c:pt>
                <c:pt idx="414">
                  <c:v>9.27</c:v>
                </c:pt>
                <c:pt idx="415">
                  <c:v>9.45</c:v>
                </c:pt>
                <c:pt idx="416">
                  <c:v>10.18</c:v>
                </c:pt>
                <c:pt idx="417">
                  <c:v>11.47</c:v>
                </c:pt>
                <c:pt idx="418">
                  <c:v>11.87</c:v>
                </c:pt>
                <c:pt idx="419">
                  <c:v>12.07</c:v>
                </c:pt>
                <c:pt idx="420">
                  <c:v>12.04</c:v>
                </c:pt>
                <c:pt idx="421">
                  <c:v>12.82</c:v>
                </c:pt>
                <c:pt idx="422">
                  <c:v>15.53</c:v>
                </c:pt>
                <c:pt idx="423">
                  <c:v>14</c:v>
                </c:pt>
                <c:pt idx="424">
                  <c:v>9.15</c:v>
                </c:pt>
                <c:pt idx="425">
                  <c:v>7</c:v>
                </c:pt>
                <c:pt idx="426">
                  <c:v>8.13</c:v>
                </c:pt>
                <c:pt idx="427">
                  <c:v>9.26</c:v>
                </c:pt>
                <c:pt idx="428">
                  <c:v>10.32</c:v>
                </c:pt>
                <c:pt idx="429">
                  <c:v>11.58</c:v>
                </c:pt>
                <c:pt idx="430">
                  <c:v>13.89</c:v>
                </c:pt>
                <c:pt idx="431">
                  <c:v>15.66</c:v>
                </c:pt>
                <c:pt idx="432">
                  <c:v>14.73</c:v>
                </c:pt>
                <c:pt idx="433">
                  <c:v>14.91</c:v>
                </c:pt>
                <c:pt idx="434">
                  <c:v>13.48</c:v>
                </c:pt>
                <c:pt idx="435">
                  <c:v>13.63</c:v>
                </c:pt>
                <c:pt idx="436">
                  <c:v>16.29</c:v>
                </c:pt>
                <c:pt idx="437">
                  <c:v>14.56</c:v>
                </c:pt>
                <c:pt idx="438">
                  <c:v>14.7</c:v>
                </c:pt>
                <c:pt idx="439">
                  <c:v>15.61</c:v>
                </c:pt>
                <c:pt idx="440">
                  <c:v>14.95</c:v>
                </c:pt>
                <c:pt idx="441">
                  <c:v>13.87</c:v>
                </c:pt>
                <c:pt idx="442">
                  <c:v>11.27</c:v>
                </c:pt>
                <c:pt idx="443">
                  <c:v>10.93</c:v>
                </c:pt>
                <c:pt idx="444">
                  <c:v>12.41</c:v>
                </c:pt>
                <c:pt idx="445">
                  <c:v>13.78</c:v>
                </c:pt>
                <c:pt idx="446">
                  <c:v>12.49</c:v>
                </c:pt>
                <c:pt idx="447">
                  <c:v>12.82</c:v>
                </c:pt>
                <c:pt idx="448">
                  <c:v>12.15</c:v>
                </c:pt>
                <c:pt idx="449">
                  <c:v>12.11</c:v>
                </c:pt>
                <c:pt idx="450">
                  <c:v>11.92</c:v>
                </c:pt>
                <c:pt idx="451">
                  <c:v>9.01</c:v>
                </c:pt>
                <c:pt idx="452">
                  <c:v>8.2</c:v>
                </c:pt>
                <c:pt idx="453">
                  <c:v>7.75</c:v>
                </c:pt>
                <c:pt idx="454">
                  <c:v>8.04</c:v>
                </c:pt>
                <c:pt idx="455">
                  <c:v>8.02</c:v>
                </c:pt>
                <c:pt idx="456">
                  <c:v>7.81</c:v>
                </c:pt>
                <c:pt idx="457">
                  <c:v>8.13</c:v>
                </c:pt>
                <c:pt idx="458">
                  <c:v>8.3</c:v>
                </c:pt>
                <c:pt idx="459">
                  <c:v>8.25</c:v>
                </c:pt>
                <c:pt idx="460">
                  <c:v>8.19</c:v>
                </c:pt>
                <c:pt idx="461">
                  <c:v>8.82</c:v>
                </c:pt>
                <c:pt idx="462">
                  <c:v>9.12</c:v>
                </c:pt>
                <c:pt idx="463">
                  <c:v>9.39</c:v>
                </c:pt>
                <c:pt idx="464">
                  <c:v>9.05</c:v>
                </c:pt>
                <c:pt idx="465">
                  <c:v>8.71</c:v>
                </c:pt>
                <c:pt idx="466">
                  <c:v>8.71</c:v>
                </c:pt>
                <c:pt idx="467">
                  <c:v>8.96</c:v>
                </c:pt>
                <c:pt idx="468">
                  <c:v>8.93</c:v>
                </c:pt>
                <c:pt idx="469">
                  <c:v>9.03</c:v>
                </c:pt>
                <c:pt idx="470">
                  <c:v>9.08</c:v>
                </c:pt>
                <c:pt idx="471">
                  <c:v>9.69</c:v>
                </c:pt>
                <c:pt idx="472">
                  <c:v>9.9</c:v>
                </c:pt>
                <c:pt idx="473">
                  <c:v>9.94</c:v>
                </c:pt>
                <c:pt idx="474">
                  <c:v>10.13</c:v>
                </c:pt>
                <c:pt idx="475">
                  <c:v>10.49</c:v>
                </c:pt>
                <c:pt idx="476">
                  <c:v>10.41</c:v>
                </c:pt>
                <c:pt idx="477">
                  <c:v>9.97</c:v>
                </c:pt>
                <c:pt idx="478">
                  <c:v>8.79</c:v>
                </c:pt>
                <c:pt idx="479">
                  <c:v>8.16</c:v>
                </c:pt>
                <c:pt idx="480">
                  <c:v>7.76</c:v>
                </c:pt>
                <c:pt idx="481">
                  <c:v>8.17</c:v>
                </c:pt>
                <c:pt idx="482">
                  <c:v>8.57</c:v>
                </c:pt>
                <c:pt idx="483">
                  <c:v>8</c:v>
                </c:pt>
                <c:pt idx="484">
                  <c:v>7.56</c:v>
                </c:pt>
                <c:pt idx="485">
                  <c:v>7.01</c:v>
                </c:pt>
                <c:pt idx="486">
                  <c:v>7.05</c:v>
                </c:pt>
                <c:pt idx="487">
                  <c:v>7.18</c:v>
                </c:pt>
                <c:pt idx="488">
                  <c:v>7.08</c:v>
                </c:pt>
                <c:pt idx="489">
                  <c:v>7.17</c:v>
                </c:pt>
                <c:pt idx="490">
                  <c:v>7.2</c:v>
                </c:pt>
                <c:pt idx="491">
                  <c:v>7.07</c:v>
                </c:pt>
                <c:pt idx="492">
                  <c:v>7.04</c:v>
                </c:pt>
                <c:pt idx="493">
                  <c:v>7.03</c:v>
                </c:pt>
                <c:pt idx="494">
                  <c:v>6.59</c:v>
                </c:pt>
                <c:pt idx="495">
                  <c:v>6.06</c:v>
                </c:pt>
                <c:pt idx="496">
                  <c:v>6.12</c:v>
                </c:pt>
                <c:pt idx="497">
                  <c:v>6.21</c:v>
                </c:pt>
                <c:pt idx="498">
                  <c:v>5.84</c:v>
                </c:pt>
                <c:pt idx="499">
                  <c:v>5.57</c:v>
                </c:pt>
                <c:pt idx="500">
                  <c:v>5.19</c:v>
                </c:pt>
                <c:pt idx="501">
                  <c:v>5.18</c:v>
                </c:pt>
                <c:pt idx="502">
                  <c:v>5.35</c:v>
                </c:pt>
                <c:pt idx="503">
                  <c:v>5.49</c:v>
                </c:pt>
                <c:pt idx="504">
                  <c:v>5.45</c:v>
                </c:pt>
                <c:pt idx="505">
                  <c:v>5.59</c:v>
                </c:pt>
                <c:pt idx="506">
                  <c:v>5.56</c:v>
                </c:pt>
                <c:pt idx="507">
                  <c:v>5.76</c:v>
                </c:pt>
                <c:pt idx="508">
                  <c:v>5.75</c:v>
                </c:pt>
                <c:pt idx="509">
                  <c:v>5.69</c:v>
                </c:pt>
                <c:pt idx="510">
                  <c:v>5.78</c:v>
                </c:pt>
                <c:pt idx="511">
                  <c:v>6</c:v>
                </c:pt>
                <c:pt idx="512">
                  <c:v>6.32</c:v>
                </c:pt>
                <c:pt idx="513">
                  <c:v>6.4</c:v>
                </c:pt>
                <c:pt idx="514">
                  <c:v>5.81</c:v>
                </c:pt>
                <c:pt idx="515">
                  <c:v>5.8</c:v>
                </c:pt>
                <c:pt idx="516">
                  <c:v>5.9</c:v>
                </c:pt>
                <c:pt idx="517">
                  <c:v>5.69</c:v>
                </c:pt>
                <c:pt idx="518">
                  <c:v>5.69</c:v>
                </c:pt>
                <c:pt idx="519">
                  <c:v>5.92</c:v>
                </c:pt>
                <c:pt idx="520">
                  <c:v>6.27</c:v>
                </c:pt>
                <c:pt idx="521">
                  <c:v>6.5</c:v>
                </c:pt>
                <c:pt idx="522">
                  <c:v>6.73</c:v>
                </c:pt>
                <c:pt idx="523">
                  <c:v>7.02</c:v>
                </c:pt>
                <c:pt idx="524">
                  <c:v>7.23</c:v>
                </c:pt>
                <c:pt idx="525">
                  <c:v>7.34</c:v>
                </c:pt>
                <c:pt idx="526">
                  <c:v>7.68</c:v>
                </c:pt>
                <c:pt idx="527">
                  <c:v>8.09</c:v>
                </c:pt>
                <c:pt idx="528">
                  <c:v>8.29</c:v>
                </c:pt>
                <c:pt idx="529">
                  <c:v>8.48</c:v>
                </c:pt>
                <c:pt idx="530">
                  <c:v>8.83</c:v>
                </c:pt>
                <c:pt idx="531">
                  <c:v>8.7</c:v>
                </c:pt>
                <c:pt idx="532">
                  <c:v>8.4</c:v>
                </c:pt>
                <c:pt idx="533">
                  <c:v>8.22</c:v>
                </c:pt>
                <c:pt idx="534">
                  <c:v>7.92</c:v>
                </c:pt>
                <c:pt idx="535">
                  <c:v>7.91</c:v>
                </c:pt>
                <c:pt idx="536">
                  <c:v>7.72</c:v>
                </c:pt>
                <c:pt idx="537">
                  <c:v>7.63</c:v>
                </c:pt>
                <c:pt idx="538">
                  <c:v>7.65</c:v>
                </c:pt>
                <c:pt idx="539">
                  <c:v>7.64</c:v>
                </c:pt>
                <c:pt idx="540">
                  <c:v>7.64</c:v>
                </c:pt>
                <c:pt idx="541">
                  <c:v>7.76</c:v>
                </c:pt>
                <c:pt idx="542">
                  <c:v>7.87</c:v>
                </c:pt>
                <c:pt idx="543">
                  <c:v>7.78</c:v>
                </c:pt>
                <c:pt idx="544">
                  <c:v>7.78</c:v>
                </c:pt>
                <c:pt idx="545">
                  <c:v>7.74</c:v>
                </c:pt>
                <c:pt idx="546">
                  <c:v>7.66</c:v>
                </c:pt>
                <c:pt idx="547">
                  <c:v>7.44</c:v>
                </c:pt>
                <c:pt idx="548">
                  <c:v>7.38</c:v>
                </c:pt>
                <c:pt idx="549">
                  <c:v>7.19</c:v>
                </c:pt>
                <c:pt idx="550">
                  <c:v>7.07</c:v>
                </c:pt>
                <c:pt idx="551">
                  <c:v>6.81</c:v>
                </c:pt>
                <c:pt idx="552">
                  <c:v>6.3</c:v>
                </c:pt>
                <c:pt idx="553">
                  <c:v>5.95</c:v>
                </c:pt>
                <c:pt idx="554">
                  <c:v>5.91</c:v>
                </c:pt>
                <c:pt idx="555">
                  <c:v>5.67</c:v>
                </c:pt>
                <c:pt idx="556">
                  <c:v>5.51</c:v>
                </c:pt>
                <c:pt idx="557">
                  <c:v>5.6</c:v>
                </c:pt>
                <c:pt idx="558">
                  <c:v>5.58</c:v>
                </c:pt>
                <c:pt idx="559">
                  <c:v>5.39</c:v>
                </c:pt>
                <c:pt idx="560">
                  <c:v>5.25</c:v>
                </c:pt>
                <c:pt idx="561">
                  <c:v>5.03</c:v>
                </c:pt>
                <c:pt idx="562">
                  <c:v>4.6</c:v>
                </c:pt>
                <c:pt idx="563">
                  <c:v>4.12</c:v>
                </c:pt>
                <c:pt idx="564">
                  <c:v>3.84</c:v>
                </c:pt>
                <c:pt idx="565">
                  <c:v>3.84</c:v>
                </c:pt>
                <c:pt idx="566">
                  <c:v>4.05</c:v>
                </c:pt>
                <c:pt idx="567">
                  <c:v>3.81</c:v>
                </c:pt>
                <c:pt idx="568">
                  <c:v>3.66</c:v>
                </c:pt>
                <c:pt idx="569">
                  <c:v>3.7</c:v>
                </c:pt>
                <c:pt idx="570">
                  <c:v>3.28</c:v>
                </c:pt>
                <c:pt idx="571">
                  <c:v>3.14</c:v>
                </c:pt>
                <c:pt idx="572">
                  <c:v>2.97</c:v>
                </c:pt>
                <c:pt idx="573">
                  <c:v>2.84</c:v>
                </c:pt>
                <c:pt idx="574">
                  <c:v>3.14</c:v>
                </c:pt>
                <c:pt idx="575">
                  <c:v>3.25</c:v>
                </c:pt>
                <c:pt idx="576">
                  <c:v>3.06</c:v>
                </c:pt>
                <c:pt idx="577">
                  <c:v>2.95</c:v>
                </c:pt>
                <c:pt idx="578">
                  <c:v>2.97</c:v>
                </c:pt>
                <c:pt idx="579">
                  <c:v>2.89</c:v>
                </c:pt>
                <c:pt idx="580">
                  <c:v>2.96</c:v>
                </c:pt>
                <c:pt idx="581">
                  <c:v>3.1</c:v>
                </c:pt>
                <c:pt idx="582">
                  <c:v>3.05</c:v>
                </c:pt>
                <c:pt idx="583">
                  <c:v>3.05</c:v>
                </c:pt>
                <c:pt idx="584">
                  <c:v>2.96</c:v>
                </c:pt>
                <c:pt idx="585">
                  <c:v>3.04</c:v>
                </c:pt>
                <c:pt idx="586">
                  <c:v>3.12</c:v>
                </c:pt>
                <c:pt idx="587">
                  <c:v>3.08</c:v>
                </c:pt>
                <c:pt idx="588">
                  <c:v>3.02</c:v>
                </c:pt>
                <c:pt idx="589">
                  <c:v>3.21</c:v>
                </c:pt>
                <c:pt idx="590">
                  <c:v>3.52</c:v>
                </c:pt>
                <c:pt idx="591">
                  <c:v>3.74</c:v>
                </c:pt>
                <c:pt idx="592">
                  <c:v>4.19</c:v>
                </c:pt>
                <c:pt idx="593">
                  <c:v>4.18</c:v>
                </c:pt>
                <c:pt idx="594">
                  <c:v>4.39</c:v>
                </c:pt>
                <c:pt idx="595">
                  <c:v>4.5</c:v>
                </c:pt>
                <c:pt idx="596">
                  <c:v>4.64</c:v>
                </c:pt>
                <c:pt idx="597">
                  <c:v>4.96</c:v>
                </c:pt>
                <c:pt idx="598">
                  <c:v>5.25</c:v>
                </c:pt>
                <c:pt idx="599">
                  <c:v>5.64</c:v>
                </c:pt>
                <c:pt idx="600">
                  <c:v>5.81</c:v>
                </c:pt>
                <c:pt idx="601">
                  <c:v>5.8</c:v>
                </c:pt>
                <c:pt idx="602">
                  <c:v>5.73</c:v>
                </c:pt>
                <c:pt idx="603">
                  <c:v>5.67</c:v>
                </c:pt>
                <c:pt idx="604">
                  <c:v>5.7</c:v>
                </c:pt>
                <c:pt idx="605">
                  <c:v>5.5</c:v>
                </c:pt>
                <c:pt idx="606">
                  <c:v>5.47</c:v>
                </c:pt>
                <c:pt idx="607">
                  <c:v>5.41</c:v>
                </c:pt>
                <c:pt idx="608">
                  <c:v>5.26</c:v>
                </c:pt>
                <c:pt idx="609">
                  <c:v>5.3</c:v>
                </c:pt>
                <c:pt idx="610">
                  <c:v>5.35</c:v>
                </c:pt>
                <c:pt idx="611">
                  <c:v>5.16</c:v>
                </c:pt>
                <c:pt idx="612">
                  <c:v>5.02</c:v>
                </c:pt>
                <c:pt idx="613">
                  <c:v>4.87</c:v>
                </c:pt>
                <c:pt idx="614">
                  <c:v>4.96</c:v>
                </c:pt>
                <c:pt idx="615">
                  <c:v>4.99</c:v>
                </c:pt>
                <c:pt idx="616">
                  <c:v>5.02</c:v>
                </c:pt>
                <c:pt idx="617">
                  <c:v>5.11</c:v>
                </c:pt>
                <c:pt idx="618">
                  <c:v>5.17</c:v>
                </c:pt>
                <c:pt idx="619">
                  <c:v>5.09</c:v>
                </c:pt>
                <c:pt idx="620">
                  <c:v>5.15</c:v>
                </c:pt>
                <c:pt idx="621">
                  <c:v>5.01</c:v>
                </c:pt>
                <c:pt idx="622">
                  <c:v>5.03</c:v>
                </c:pt>
                <c:pt idx="623">
                  <c:v>4.87</c:v>
                </c:pt>
                <c:pt idx="624">
                  <c:v>5.05</c:v>
                </c:pt>
                <c:pt idx="625">
                  <c:v>5</c:v>
                </c:pt>
                <c:pt idx="626">
                  <c:v>5.14</c:v>
                </c:pt>
                <c:pt idx="627">
                  <c:v>5.17</c:v>
                </c:pt>
                <c:pt idx="628">
                  <c:v>5.13</c:v>
                </c:pt>
                <c:pt idx="629">
                  <c:v>4.92</c:v>
                </c:pt>
                <c:pt idx="630">
                  <c:v>5.07</c:v>
                </c:pt>
                <c:pt idx="631">
                  <c:v>5.13</c:v>
                </c:pt>
                <c:pt idx="632">
                  <c:v>4.97</c:v>
                </c:pt>
                <c:pt idx="633">
                  <c:v>4.95</c:v>
                </c:pt>
                <c:pt idx="634">
                  <c:v>5.15</c:v>
                </c:pt>
                <c:pt idx="635">
                  <c:v>5.16</c:v>
                </c:pt>
                <c:pt idx="636">
                  <c:v>5.09</c:v>
                </c:pt>
                <c:pt idx="637">
                  <c:v>5.11</c:v>
                </c:pt>
                <c:pt idx="638">
                  <c:v>5.03</c:v>
                </c:pt>
                <c:pt idx="639">
                  <c:v>5</c:v>
                </c:pt>
                <c:pt idx="640">
                  <c:v>5.03</c:v>
                </c:pt>
                <c:pt idx="641">
                  <c:v>4.99</c:v>
                </c:pt>
                <c:pt idx="642">
                  <c:v>4.96</c:v>
                </c:pt>
                <c:pt idx="643">
                  <c:v>4.94</c:v>
                </c:pt>
                <c:pt idx="644">
                  <c:v>4.74</c:v>
                </c:pt>
                <c:pt idx="645">
                  <c:v>4.08</c:v>
                </c:pt>
                <c:pt idx="646">
                  <c:v>4.44</c:v>
                </c:pt>
                <c:pt idx="647">
                  <c:v>4.42</c:v>
                </c:pt>
                <c:pt idx="648">
                  <c:v>4.34</c:v>
                </c:pt>
                <c:pt idx="649">
                  <c:v>4.45</c:v>
                </c:pt>
                <c:pt idx="650">
                  <c:v>4.48</c:v>
                </c:pt>
                <c:pt idx="651">
                  <c:v>4.28</c:v>
                </c:pt>
                <c:pt idx="652">
                  <c:v>4.51</c:v>
                </c:pt>
                <c:pt idx="653">
                  <c:v>4.59</c:v>
                </c:pt>
                <c:pt idx="654">
                  <c:v>4.6</c:v>
                </c:pt>
                <c:pt idx="655">
                  <c:v>4.76</c:v>
                </c:pt>
                <c:pt idx="656">
                  <c:v>4.73</c:v>
                </c:pt>
                <c:pt idx="657">
                  <c:v>4.88</c:v>
                </c:pt>
                <c:pt idx="658">
                  <c:v>5.07</c:v>
                </c:pt>
                <c:pt idx="659">
                  <c:v>5.23</c:v>
                </c:pt>
                <c:pt idx="660">
                  <c:v>5.34</c:v>
                </c:pt>
                <c:pt idx="661">
                  <c:v>5.57</c:v>
                </c:pt>
                <c:pt idx="662">
                  <c:v>5.72</c:v>
                </c:pt>
                <c:pt idx="663">
                  <c:v>5.67</c:v>
                </c:pt>
                <c:pt idx="664">
                  <c:v>5.92</c:v>
                </c:pt>
                <c:pt idx="665">
                  <c:v>5.74</c:v>
                </c:pt>
              </c:numCache>
            </c:numRef>
          </c:val>
          <c:smooth val="0"/>
        </c:ser>
        <c:marker val="1"/>
        <c:axId val="43973004"/>
        <c:axId val="60212717"/>
      </c:lineChart>
      <c:catAx>
        <c:axId val="439730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 1 = Jan 1945; 666 = Jun 2000</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212717"/>
        <c:crosses val="autoZero"/>
        <c:auto val="1"/>
        <c:lblOffset val="100"/>
        <c:tickLblSkip val="21"/>
        <c:noMultiLvlLbl val="0"/>
      </c:catAx>
      <c:valAx>
        <c:axId val="602127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3 Mo Tr Bill Auction Rate</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7300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Correlogram of Real Interest Rates
on three month Treasury bills:
Jan 1945 - June 2000</a:t>
            </a:r>
          </a:p>
        </c:rich>
      </c:tx>
      <c:layout>
        <c:manualLayout>
          <c:xMode val="factor"/>
          <c:yMode val="factor"/>
          <c:x val="0.00225"/>
          <c:y val="0"/>
        </c:manualLayout>
      </c:layout>
      <c:spPr>
        <a:noFill/>
        <a:ln>
          <a:noFill/>
        </a:ln>
      </c:spPr>
    </c:title>
    <c:plotArea>
      <c:layout>
        <c:manualLayout>
          <c:xMode val="edge"/>
          <c:yMode val="edge"/>
          <c:x val="0.03925"/>
          <c:y val="0.17275"/>
          <c:w val="0.94825"/>
          <c:h val="0.771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'real interest rates'!$N$6:$N$642</c:f>
              <c:numCache>
                <c:ptCount val="637"/>
                <c:pt idx="0">
                  <c:v>0.5149035193120165</c:v>
                </c:pt>
                <c:pt idx="1">
                  <c:v>0.3917581552390149</c:v>
                </c:pt>
                <c:pt idx="2">
                  <c:v>0.37222292657142897</c:v>
                </c:pt>
                <c:pt idx="3">
                  <c:v>0.3209884162174127</c:v>
                </c:pt>
                <c:pt idx="4">
                  <c:v>0.3341892486739781</c:v>
                </c:pt>
                <c:pt idx="5">
                  <c:v>0.31985592927086726</c:v>
                </c:pt>
                <c:pt idx="6">
                  <c:v>0.31630628208469447</c:v>
                </c:pt>
                <c:pt idx="7">
                  <c:v>0.31562222654745864</c:v>
                </c:pt>
                <c:pt idx="8">
                  <c:v>0.3591126453409946</c:v>
                </c:pt>
                <c:pt idx="9">
                  <c:v>0.34366262262088587</c:v>
                </c:pt>
                <c:pt idx="10">
                  <c:v>0.2513983956617109</c:v>
                </c:pt>
                <c:pt idx="11">
                  <c:v>0.09938118719453197</c:v>
                </c:pt>
                <c:pt idx="12">
                  <c:v>0.1348995616428051</c:v>
                </c:pt>
                <c:pt idx="13">
                  <c:v>0.12317683892558567</c:v>
                </c:pt>
                <c:pt idx="14">
                  <c:v>0.15641967070735008</c:v>
                </c:pt>
                <c:pt idx="15">
                  <c:v>0.1790851648633521</c:v>
                </c:pt>
                <c:pt idx="16">
                  <c:v>0.131292119763952</c:v>
                </c:pt>
                <c:pt idx="17">
                  <c:v>0.10331556815636385</c:v>
                </c:pt>
                <c:pt idx="18">
                  <c:v>0.09135693311545232</c:v>
                </c:pt>
                <c:pt idx="19">
                  <c:v>0.10513795612359961</c:v>
                </c:pt>
                <c:pt idx="20">
                  <c:v>0.09097748563173004</c:v>
                </c:pt>
                <c:pt idx="21">
                  <c:v>0.08305077448852291</c:v>
                </c:pt>
                <c:pt idx="22">
                  <c:v>0.05612375775152241</c:v>
                </c:pt>
                <c:pt idx="23">
                  <c:v>0.022204008616797118</c:v>
                </c:pt>
                <c:pt idx="24">
                  <c:v>0.07261476622942828</c:v>
                </c:pt>
                <c:pt idx="25">
                  <c:v>0.07559946528330189</c:v>
                </c:pt>
                <c:pt idx="26">
                  <c:v>0.08756506180773785</c:v>
                </c:pt>
                <c:pt idx="27">
                  <c:v>0.09352970427359704</c:v>
                </c:pt>
                <c:pt idx="28">
                  <c:v>0.1693748896774898</c:v>
                </c:pt>
                <c:pt idx="29">
                  <c:v>0.14925341247555202</c:v>
                </c:pt>
                <c:pt idx="30">
                  <c:v>0.18059438265349825</c:v>
                </c:pt>
                <c:pt idx="31">
                  <c:v>0.20155339731018884</c:v>
                </c:pt>
                <c:pt idx="32">
                  <c:v>0.1564720947422257</c:v>
                </c:pt>
                <c:pt idx="33">
                  <c:v>0.11320013603689628</c:v>
                </c:pt>
                <c:pt idx="34">
                  <c:v>0.11026398997494737</c:v>
                </c:pt>
                <c:pt idx="35">
                  <c:v>0.1598324854500427</c:v>
                </c:pt>
                <c:pt idx="36">
                  <c:v>0.18564537700569397</c:v>
                </c:pt>
                <c:pt idx="37">
                  <c:v>0.20854699607715438</c:v>
                </c:pt>
                <c:pt idx="38">
                  <c:v>0.1914762288029737</c:v>
                </c:pt>
                <c:pt idx="39">
                  <c:v>0.23086232632253326</c:v>
                </c:pt>
                <c:pt idx="40">
                  <c:v>0.17605420493691484</c:v>
                </c:pt>
                <c:pt idx="41">
                  <c:v>0.13157937953410187</c:v>
                </c:pt>
                <c:pt idx="42">
                  <c:v>0.08455765392189431</c:v>
                </c:pt>
                <c:pt idx="43">
                  <c:v>0.06940207336936931</c:v>
                </c:pt>
                <c:pt idx="44">
                  <c:v>0.04524077149659245</c:v>
                </c:pt>
                <c:pt idx="45">
                  <c:v>0.10280961550555741</c:v>
                </c:pt>
                <c:pt idx="46">
                  <c:v>0.1498781279536524</c:v>
                </c:pt>
                <c:pt idx="47">
                  <c:v>0.1304832156516898</c:v>
                </c:pt>
                <c:pt idx="48">
                  <c:v>0.07437069420303231</c:v>
                </c:pt>
                <c:pt idx="49">
                  <c:v>0.052682235897097016</c:v>
                </c:pt>
                <c:pt idx="50">
                  <c:v>0.057002528427619034</c:v>
                </c:pt>
                <c:pt idx="51">
                  <c:v>0.0004439707698097188</c:v>
                </c:pt>
                <c:pt idx="52">
                  <c:v>0.02801538167174831</c:v>
                </c:pt>
                <c:pt idx="53">
                  <c:v>0.03611268265965653</c:v>
                </c:pt>
                <c:pt idx="54">
                  <c:v>0.06992229117656457</c:v>
                </c:pt>
                <c:pt idx="55">
                  <c:v>0.04488377423460132</c:v>
                </c:pt>
                <c:pt idx="56">
                  <c:v>0.0456125259421919</c:v>
                </c:pt>
                <c:pt idx="57">
                  <c:v>0.021528613168831902</c:v>
                </c:pt>
                <c:pt idx="58">
                  <c:v>0.008926722225983844</c:v>
                </c:pt>
                <c:pt idx="59">
                  <c:v>0.0007954097296123726</c:v>
                </c:pt>
                <c:pt idx="60">
                  <c:v>-0.00751176809791203</c:v>
                </c:pt>
                <c:pt idx="61">
                  <c:v>0.023537926766425264</c:v>
                </c:pt>
                <c:pt idx="62">
                  <c:v>0.035676884524615766</c:v>
                </c:pt>
                <c:pt idx="63">
                  <c:v>0.03466675724716803</c:v>
                </c:pt>
                <c:pt idx="64">
                  <c:v>0.043373230502892476</c:v>
                </c:pt>
                <c:pt idx="65">
                  <c:v>0.022087557396168224</c:v>
                </c:pt>
                <c:pt idx="66">
                  <c:v>0.0252688836688577</c:v>
                </c:pt>
                <c:pt idx="67">
                  <c:v>0.03491982382445248</c:v>
                </c:pt>
                <c:pt idx="68">
                  <c:v>0.054062605203065016</c:v>
                </c:pt>
                <c:pt idx="69">
                  <c:v>6.103971793183797E-05</c:v>
                </c:pt>
                <c:pt idx="70">
                  <c:v>-0.007727086721233677</c:v>
                </c:pt>
                <c:pt idx="71">
                  <c:v>0.0297605789398356</c:v>
                </c:pt>
                <c:pt idx="72">
                  <c:v>0.012283227516688559</c:v>
                </c:pt>
                <c:pt idx="73">
                  <c:v>-0.018706968843322392</c:v>
                </c:pt>
                <c:pt idx="74">
                  <c:v>-0.02385152320159537</c:v>
                </c:pt>
                <c:pt idx="75">
                  <c:v>-0.0018001722514131252</c:v>
                </c:pt>
                <c:pt idx="76">
                  <c:v>-0.01746136389474756</c:v>
                </c:pt>
                <c:pt idx="77">
                  <c:v>-0.006771736558294966</c:v>
                </c:pt>
                <c:pt idx="78">
                  <c:v>-0.03222041175465533</c:v>
                </c:pt>
                <c:pt idx="79">
                  <c:v>-0.02942021906320337</c:v>
                </c:pt>
                <c:pt idx="80">
                  <c:v>-0.051646305523446547</c:v>
                </c:pt>
                <c:pt idx="81">
                  <c:v>-0.015083565011039692</c:v>
                </c:pt>
                <c:pt idx="82">
                  <c:v>-0.03394755070885996</c:v>
                </c:pt>
                <c:pt idx="83">
                  <c:v>-0.021895469441333137</c:v>
                </c:pt>
                <c:pt idx="84">
                  <c:v>-0.05357924174951124</c:v>
                </c:pt>
                <c:pt idx="85">
                  <c:v>-0.03767812044667194</c:v>
                </c:pt>
                <c:pt idx="86">
                  <c:v>-0.050935325581333006</c:v>
                </c:pt>
                <c:pt idx="87">
                  <c:v>-0.06360915031986883</c:v>
                </c:pt>
                <c:pt idx="88">
                  <c:v>-0.06230738266154161</c:v>
                </c:pt>
                <c:pt idx="89">
                  <c:v>-0.08590615127225759</c:v>
                </c:pt>
                <c:pt idx="90">
                  <c:v>-0.09460544357586068</c:v>
                </c:pt>
                <c:pt idx="91">
                  <c:v>-0.08209051300375737</c:v>
                </c:pt>
                <c:pt idx="92">
                  <c:v>-0.07178383373730687</c:v>
                </c:pt>
                <c:pt idx="93">
                  <c:v>-0.07229426407841083</c:v>
                </c:pt>
                <c:pt idx="94">
                  <c:v>-0.08310827341617368</c:v>
                </c:pt>
                <c:pt idx="95">
                  <c:v>-0.09842874528715802</c:v>
                </c:pt>
                <c:pt idx="96">
                  <c:v>-0.0976144221938017</c:v>
                </c:pt>
                <c:pt idx="97">
                  <c:v>-0.09515287069604271</c:v>
                </c:pt>
                <c:pt idx="98">
                  <c:v>-0.07206769496291335</c:v>
                </c:pt>
                <c:pt idx="99">
                  <c:v>-0.06182329385813922</c:v>
                </c:pt>
                <c:pt idx="100">
                  <c:v>-0.07706774307876635</c:v>
                </c:pt>
                <c:pt idx="101">
                  <c:v>-0.05000698518218478</c:v>
                </c:pt>
                <c:pt idx="102">
                  <c:v>-0.061341791230566475</c:v>
                </c:pt>
                <c:pt idx="103">
                  <c:v>-0.060274395667733904</c:v>
                </c:pt>
                <c:pt idx="104">
                  <c:v>-0.07770933114454558</c:v>
                </c:pt>
                <c:pt idx="105">
                  <c:v>-0.07981602345697758</c:v>
                </c:pt>
                <c:pt idx="106">
                  <c:v>-0.07662933536405771</c:v>
                </c:pt>
                <c:pt idx="107">
                  <c:v>-0.08160760953847017</c:v>
                </c:pt>
                <c:pt idx="108">
                  <c:v>-0.06254738799950152</c:v>
                </c:pt>
                <c:pt idx="109">
                  <c:v>-0.05827546730660241</c:v>
                </c:pt>
                <c:pt idx="110">
                  <c:v>-0.03608790659255625</c:v>
                </c:pt>
                <c:pt idx="111">
                  <c:v>-0.05916223846361738</c:v>
                </c:pt>
                <c:pt idx="112">
                  <c:v>-0.05053829430165064</c:v>
                </c:pt>
                <c:pt idx="113">
                  <c:v>-0.07922325675138926</c:v>
                </c:pt>
                <c:pt idx="114">
                  <c:v>-0.040246307902922565</c:v>
                </c:pt>
                <c:pt idx="115">
                  <c:v>-0.033955936765044874</c:v>
                </c:pt>
                <c:pt idx="116">
                  <c:v>-0.039002386623194475</c:v>
                </c:pt>
                <c:pt idx="117">
                  <c:v>-0.0396524389796698</c:v>
                </c:pt>
                <c:pt idx="118">
                  <c:v>-0.06185038355893503</c:v>
                </c:pt>
                <c:pt idx="119">
                  <c:v>-0.04124855736574645</c:v>
                </c:pt>
                <c:pt idx="120">
                  <c:v>-0.06835078898739917</c:v>
                </c:pt>
                <c:pt idx="121">
                  <c:v>-0.0365638668419849</c:v>
                </c:pt>
                <c:pt idx="122">
                  <c:v>-0.046395963923456615</c:v>
                </c:pt>
                <c:pt idx="123">
                  <c:v>-0.03728071402556052</c:v>
                </c:pt>
                <c:pt idx="124">
                  <c:v>-0.03826670713453957</c:v>
                </c:pt>
                <c:pt idx="125">
                  <c:v>-0.035119458958476485</c:v>
                </c:pt>
                <c:pt idx="126">
                  <c:v>-0.04940564193481049</c:v>
                </c:pt>
                <c:pt idx="127">
                  <c:v>-0.06887685474961638</c:v>
                </c:pt>
                <c:pt idx="128">
                  <c:v>-0.08151843627640275</c:v>
                </c:pt>
                <c:pt idx="129">
                  <c:v>-0.09124193484861823</c:v>
                </c:pt>
                <c:pt idx="130">
                  <c:v>-0.03381479620111144</c:v>
                </c:pt>
                <c:pt idx="131">
                  <c:v>-0.02181532928295533</c:v>
                </c:pt>
                <c:pt idx="132">
                  <c:v>-0.039073458587916096</c:v>
                </c:pt>
                <c:pt idx="133">
                  <c:v>-0.057003381341136916</c:v>
                </c:pt>
                <c:pt idx="134">
                  <c:v>-0.07409723552334428</c:v>
                </c:pt>
                <c:pt idx="135">
                  <c:v>-0.08447964183917664</c:v>
                </c:pt>
                <c:pt idx="136">
                  <c:v>-0.07629938565492639</c:v>
                </c:pt>
                <c:pt idx="137">
                  <c:v>-0.07937778452718587</c:v>
                </c:pt>
                <c:pt idx="138">
                  <c:v>-0.08462135566243076</c:v>
                </c:pt>
                <c:pt idx="139">
                  <c:v>-0.04360907986637584</c:v>
                </c:pt>
                <c:pt idx="140">
                  <c:v>-0.04598912090449732</c:v>
                </c:pt>
                <c:pt idx="141">
                  <c:v>-0.06060843645535708</c:v>
                </c:pt>
                <c:pt idx="142">
                  <c:v>-0.054688527696035605</c:v>
                </c:pt>
                <c:pt idx="143">
                  <c:v>-0.06052071383720494</c:v>
                </c:pt>
                <c:pt idx="144">
                  <c:v>-0.061568367038994355</c:v>
                </c:pt>
                <c:pt idx="145">
                  <c:v>-0.06204512119425057</c:v>
                </c:pt>
                <c:pt idx="146">
                  <c:v>-0.03167402163608791</c:v>
                </c:pt>
                <c:pt idx="147">
                  <c:v>-0.03223032591097998</c:v>
                </c:pt>
                <c:pt idx="148">
                  <c:v>-0.025247656103989727</c:v>
                </c:pt>
                <c:pt idx="149">
                  <c:v>-0.028348890646260394</c:v>
                </c:pt>
                <c:pt idx="150">
                  <c:v>-0.018435305915722056</c:v>
                </c:pt>
                <c:pt idx="151">
                  <c:v>-0.03979806504260382</c:v>
                </c:pt>
                <c:pt idx="152">
                  <c:v>-0.018766998986413385</c:v>
                </c:pt>
                <c:pt idx="153">
                  <c:v>-0.008126401778209618</c:v>
                </c:pt>
                <c:pt idx="154">
                  <c:v>-0.007358282189068869</c:v>
                </c:pt>
                <c:pt idx="155">
                  <c:v>-0.02836938134208477</c:v>
                </c:pt>
                <c:pt idx="156">
                  <c:v>-0.03450797622573033</c:v>
                </c:pt>
                <c:pt idx="157">
                  <c:v>-0.026087629451234412</c:v>
                </c:pt>
                <c:pt idx="158">
                  <c:v>-0.03002527736242754</c:v>
                </c:pt>
                <c:pt idx="159">
                  <c:v>-0.008714299895531087</c:v>
                </c:pt>
                <c:pt idx="160">
                  <c:v>-0.025827567602675326</c:v>
                </c:pt>
                <c:pt idx="161">
                  <c:v>-0.0036445813249653294</c:v>
                </c:pt>
                <c:pt idx="162">
                  <c:v>-0.010620400377725466</c:v>
                </c:pt>
                <c:pt idx="163">
                  <c:v>0.010810458091544801</c:v>
                </c:pt>
                <c:pt idx="164">
                  <c:v>-0.015922212491339092</c:v>
                </c:pt>
                <c:pt idx="165">
                  <c:v>0.01211810039139432</c:v>
                </c:pt>
                <c:pt idx="166">
                  <c:v>-0.03646056846679139</c:v>
                </c:pt>
                <c:pt idx="167">
                  <c:v>-0.046053287146641204</c:v>
                </c:pt>
                <c:pt idx="168">
                  <c:v>-0.013260939310894481</c:v>
                </c:pt>
                <c:pt idx="169">
                  <c:v>-0.018775623128592357</c:v>
                </c:pt>
                <c:pt idx="170">
                  <c:v>0.0037817895106230003</c:v>
                </c:pt>
                <c:pt idx="171">
                  <c:v>0.013925101642582531</c:v>
                </c:pt>
                <c:pt idx="172">
                  <c:v>-0.017969967693166066</c:v>
                </c:pt>
                <c:pt idx="173">
                  <c:v>-0.04927815085353781</c:v>
                </c:pt>
                <c:pt idx="174">
                  <c:v>-0.02609185350460658</c:v>
                </c:pt>
                <c:pt idx="175">
                  <c:v>-0.043759284046990046</c:v>
                </c:pt>
                <c:pt idx="176">
                  <c:v>-0.04116359144114889</c:v>
                </c:pt>
                <c:pt idx="177">
                  <c:v>-0.03383191165111916</c:v>
                </c:pt>
                <c:pt idx="178">
                  <c:v>-0.015138083009073815</c:v>
                </c:pt>
                <c:pt idx="179">
                  <c:v>0.017269002975842728</c:v>
                </c:pt>
                <c:pt idx="180">
                  <c:v>0.003877794228987975</c:v>
                </c:pt>
                <c:pt idx="181">
                  <c:v>0.010464304482904458</c:v>
                </c:pt>
                <c:pt idx="182">
                  <c:v>-0.030728766321191935</c:v>
                </c:pt>
                <c:pt idx="183">
                  <c:v>-0.043374701834549376</c:v>
                </c:pt>
                <c:pt idx="184">
                  <c:v>-0.03902408429887866</c:v>
                </c:pt>
                <c:pt idx="185">
                  <c:v>-0.02152889271512961</c:v>
                </c:pt>
                <c:pt idx="186">
                  <c:v>0.01828996715352295</c:v>
                </c:pt>
                <c:pt idx="187">
                  <c:v>-0.01779169296392767</c:v>
                </c:pt>
                <c:pt idx="188">
                  <c:v>0.0027615489981454274</c:v>
                </c:pt>
                <c:pt idx="189">
                  <c:v>-0.02651434288827234</c:v>
                </c:pt>
                <c:pt idx="190">
                  <c:v>-0.008807849680983785</c:v>
                </c:pt>
                <c:pt idx="191">
                  <c:v>0.010675025410709948</c:v>
                </c:pt>
                <c:pt idx="192">
                  <c:v>-0.012395411845367275</c:v>
                </c:pt>
                <c:pt idx="193">
                  <c:v>-0.0095281324287517</c:v>
                </c:pt>
                <c:pt idx="194">
                  <c:v>-0.010360394363138688</c:v>
                </c:pt>
                <c:pt idx="195">
                  <c:v>-0.014415564932779035</c:v>
                </c:pt>
                <c:pt idx="196">
                  <c:v>0.005755699260726041</c:v>
                </c:pt>
                <c:pt idx="197">
                  <c:v>0.0003024671455754395</c:v>
                </c:pt>
                <c:pt idx="198">
                  <c:v>-0.02395420169505948</c:v>
                </c:pt>
                <c:pt idx="199">
                  <c:v>0.02299223832080355</c:v>
                </c:pt>
                <c:pt idx="200">
                  <c:v>-0.00014479059507864467</c:v>
                </c:pt>
                <c:pt idx="201">
                  <c:v>0.03660126237939995</c:v>
                </c:pt>
                <c:pt idx="202">
                  <c:v>0.013201442593598133</c:v>
                </c:pt>
                <c:pt idx="203">
                  <c:v>-0.012868217335730863</c:v>
                </c:pt>
                <c:pt idx="204">
                  <c:v>-0.04383438512458016</c:v>
                </c:pt>
                <c:pt idx="205">
                  <c:v>-0.013398173969680908</c:v>
                </c:pt>
                <c:pt idx="206">
                  <c:v>-0.015742246280929875</c:v>
                </c:pt>
                <c:pt idx="207">
                  <c:v>0.015350232617700644</c:v>
                </c:pt>
                <c:pt idx="208">
                  <c:v>0.03304496592584354</c:v>
                </c:pt>
                <c:pt idx="209">
                  <c:v>0.017482516797934673</c:v>
                </c:pt>
                <c:pt idx="210">
                  <c:v>0.016377284908232603</c:v>
                </c:pt>
                <c:pt idx="211">
                  <c:v>0.009271097014549695</c:v>
                </c:pt>
                <c:pt idx="212">
                  <c:v>0.014104114956463321</c:v>
                </c:pt>
                <c:pt idx="213">
                  <c:v>-0.010962746196751477</c:v>
                </c:pt>
                <c:pt idx="214">
                  <c:v>-0.014535151760035047</c:v>
                </c:pt>
                <c:pt idx="215">
                  <c:v>-0.027313908147963768</c:v>
                </c:pt>
                <c:pt idx="216">
                  <c:v>0.013124528522894861</c:v>
                </c:pt>
                <c:pt idx="217">
                  <c:v>0.019098134669155067</c:v>
                </c:pt>
                <c:pt idx="218">
                  <c:v>0.018554561457307356</c:v>
                </c:pt>
                <c:pt idx="219">
                  <c:v>4.511934608409858E-05</c:v>
                </c:pt>
                <c:pt idx="220">
                  <c:v>-0.01563572945911812</c:v>
                </c:pt>
                <c:pt idx="221">
                  <c:v>-0.0024667151777964438</c:v>
                </c:pt>
                <c:pt idx="222">
                  <c:v>-0.018605957311656</c:v>
                </c:pt>
                <c:pt idx="223">
                  <c:v>-0.018087915126140573</c:v>
                </c:pt>
                <c:pt idx="224">
                  <c:v>-0.025364746337454756</c:v>
                </c:pt>
                <c:pt idx="225">
                  <c:v>-0.019710918159249424</c:v>
                </c:pt>
                <c:pt idx="226">
                  <c:v>0.006676349747289508</c:v>
                </c:pt>
                <c:pt idx="227">
                  <c:v>0.0002584633430364324</c:v>
                </c:pt>
                <c:pt idx="228">
                  <c:v>0.0174900084910639</c:v>
                </c:pt>
                <c:pt idx="229">
                  <c:v>0.0022312055136926917</c:v>
                </c:pt>
                <c:pt idx="230">
                  <c:v>-0.012261269094112867</c:v>
                </c:pt>
                <c:pt idx="231">
                  <c:v>-0.019635502427247476</c:v>
                </c:pt>
                <c:pt idx="232">
                  <c:v>-0.023481412343173507</c:v>
                </c:pt>
                <c:pt idx="233">
                  <c:v>-0.025111796874659094</c:v>
                </c:pt>
                <c:pt idx="234">
                  <c:v>-0.00390470994281128</c:v>
                </c:pt>
                <c:pt idx="235">
                  <c:v>-0.027565792746919157</c:v>
                </c:pt>
                <c:pt idx="236">
                  <c:v>0.009379860958193953</c:v>
                </c:pt>
                <c:pt idx="237">
                  <c:v>0.007920372362044209</c:v>
                </c:pt>
                <c:pt idx="238">
                  <c:v>-0.020937231157297016</c:v>
                </c:pt>
                <c:pt idx="239">
                  <c:v>0.00033278224341244417</c:v>
                </c:pt>
                <c:pt idx="240">
                  <c:v>-0.02265805225466119</c:v>
                </c:pt>
                <c:pt idx="241">
                  <c:v>0.010261799774307577</c:v>
                </c:pt>
                <c:pt idx="242">
                  <c:v>-0.011856544426419119</c:v>
                </c:pt>
                <c:pt idx="243">
                  <c:v>0.0009349586581076815</c:v>
                </c:pt>
                <c:pt idx="244">
                  <c:v>-0.00988437135891388</c:v>
                </c:pt>
                <c:pt idx="245">
                  <c:v>0.007730332603115246</c:v>
                </c:pt>
                <c:pt idx="246">
                  <c:v>0.007049992798442325</c:v>
                </c:pt>
                <c:pt idx="247">
                  <c:v>0.012273075656767362</c:v>
                </c:pt>
                <c:pt idx="248">
                  <c:v>-0.0021140142509902503</c:v>
                </c:pt>
                <c:pt idx="249">
                  <c:v>0.004739487685479</c:v>
                </c:pt>
                <c:pt idx="250">
                  <c:v>0.007989970240189647</c:v>
                </c:pt>
                <c:pt idx="251">
                  <c:v>-0.00853584293194662</c:v>
                </c:pt>
                <c:pt idx="252">
                  <c:v>-0.009343321860937193</c:v>
                </c:pt>
                <c:pt idx="253">
                  <c:v>-0.009866615527639292</c:v>
                </c:pt>
                <c:pt idx="254">
                  <c:v>0.021667449179427704</c:v>
                </c:pt>
                <c:pt idx="255">
                  <c:v>0.0182845543486937</c:v>
                </c:pt>
                <c:pt idx="256">
                  <c:v>0.020881128153869617</c:v>
                </c:pt>
                <c:pt idx="257">
                  <c:v>0.016646124128721705</c:v>
                </c:pt>
                <c:pt idx="258">
                  <c:v>0.008710749841259087</c:v>
                </c:pt>
                <c:pt idx="259">
                  <c:v>0.005141332027666806</c:v>
                </c:pt>
                <c:pt idx="260">
                  <c:v>0.02802950802296557</c:v>
                </c:pt>
                <c:pt idx="261">
                  <c:v>0.0064235142307134735</c:v>
                </c:pt>
                <c:pt idx="262">
                  <c:v>0.010395550209201363</c:v>
                </c:pt>
                <c:pt idx="263">
                  <c:v>0.03130361035001983</c:v>
                </c:pt>
                <c:pt idx="264">
                  <c:v>0.05536855951552909</c:v>
                </c:pt>
                <c:pt idx="265">
                  <c:v>0.06767549531209266</c:v>
                </c:pt>
                <c:pt idx="266">
                  <c:v>0.041778063607462196</c:v>
                </c:pt>
                <c:pt idx="267">
                  <c:v>0.026027614193219854</c:v>
                </c:pt>
                <c:pt idx="268">
                  <c:v>0.02250030167048394</c:v>
                </c:pt>
                <c:pt idx="269">
                  <c:v>0.024573637606924163</c:v>
                </c:pt>
                <c:pt idx="270">
                  <c:v>0.0246410238379479</c:v>
                </c:pt>
                <c:pt idx="271">
                  <c:v>0.036643052012783006</c:v>
                </c:pt>
                <c:pt idx="272">
                  <c:v>0.027761815776866303</c:v>
                </c:pt>
                <c:pt idx="273">
                  <c:v>0.041310486181695596</c:v>
                </c:pt>
                <c:pt idx="274">
                  <c:v>0.0782665492995914</c:v>
                </c:pt>
                <c:pt idx="275">
                  <c:v>0.07941118490014931</c:v>
                </c:pt>
                <c:pt idx="276">
                  <c:v>0.07345007125862892</c:v>
                </c:pt>
                <c:pt idx="277">
                  <c:v>0.02787222972678438</c:v>
                </c:pt>
                <c:pt idx="278">
                  <c:v>0.040441446507455014</c:v>
                </c:pt>
                <c:pt idx="279">
                  <c:v>0.03636122294828133</c:v>
                </c:pt>
                <c:pt idx="280">
                  <c:v>0.023969807546617705</c:v>
                </c:pt>
                <c:pt idx="281">
                  <c:v>0.05838696827821617</c:v>
                </c:pt>
                <c:pt idx="282">
                  <c:v>0.03854677520614077</c:v>
                </c:pt>
                <c:pt idx="283">
                  <c:v>0.051267638476869375</c:v>
                </c:pt>
                <c:pt idx="284">
                  <c:v>0.05079435220347506</c:v>
                </c:pt>
                <c:pt idx="285">
                  <c:v>0.04717311372824984</c:v>
                </c:pt>
                <c:pt idx="286">
                  <c:v>0.01929415335753342</c:v>
                </c:pt>
                <c:pt idx="287">
                  <c:v>0.017351250177283038</c:v>
                </c:pt>
                <c:pt idx="288">
                  <c:v>-0.010998989628272763</c:v>
                </c:pt>
                <c:pt idx="289">
                  <c:v>0.006256885928058372</c:v>
                </c:pt>
                <c:pt idx="290">
                  <c:v>-0.0036102178042345975</c:v>
                </c:pt>
                <c:pt idx="291">
                  <c:v>0.018444617048429673</c:v>
                </c:pt>
                <c:pt idx="292">
                  <c:v>0.017355510005139123</c:v>
                </c:pt>
                <c:pt idx="293">
                  <c:v>-0.009065933368208216</c:v>
                </c:pt>
                <c:pt idx="294">
                  <c:v>0.018524647528744425</c:v>
                </c:pt>
                <c:pt idx="295">
                  <c:v>0.003948106481114133</c:v>
                </c:pt>
                <c:pt idx="296">
                  <c:v>0.01331317427911192</c:v>
                </c:pt>
                <c:pt idx="297">
                  <c:v>-0.009004824336569303</c:v>
                </c:pt>
                <c:pt idx="298">
                  <c:v>-0.0026821510826228125</c:v>
                </c:pt>
                <c:pt idx="299">
                  <c:v>-0.023639634326493412</c:v>
                </c:pt>
                <c:pt idx="300">
                  <c:v>-0.014741201275237552</c:v>
                </c:pt>
                <c:pt idx="301">
                  <c:v>0.004767521308634938</c:v>
                </c:pt>
                <c:pt idx="302">
                  <c:v>0.0015305887186650292</c:v>
                </c:pt>
                <c:pt idx="303">
                  <c:v>0.05185469566232858</c:v>
                </c:pt>
                <c:pt idx="304">
                  <c:v>-0.0009782089429543244</c:v>
                </c:pt>
                <c:pt idx="305">
                  <c:v>-0.0001666839270915997</c:v>
                </c:pt>
                <c:pt idx="306">
                  <c:v>0.025740441285080233</c:v>
                </c:pt>
                <c:pt idx="307">
                  <c:v>0.03746720878109235</c:v>
                </c:pt>
                <c:pt idx="308">
                  <c:v>0.01897466226007098</c:v>
                </c:pt>
                <c:pt idx="309">
                  <c:v>0.017808852192274086</c:v>
                </c:pt>
                <c:pt idx="310">
                  <c:v>0.05511582536086043</c:v>
                </c:pt>
                <c:pt idx="311">
                  <c:v>0.06977624107574193</c:v>
                </c:pt>
                <c:pt idx="312">
                  <c:v>0.11137571805452672</c:v>
                </c:pt>
                <c:pt idx="313">
                  <c:v>0.08277560449477797</c:v>
                </c:pt>
                <c:pt idx="314">
                  <c:v>0.07055764222365792</c:v>
                </c:pt>
                <c:pt idx="315">
                  <c:v>0.062396819059144765</c:v>
                </c:pt>
                <c:pt idx="316">
                  <c:v>0.08382447550331047</c:v>
                </c:pt>
                <c:pt idx="317">
                  <c:v>0.07408674359189862</c:v>
                </c:pt>
                <c:pt idx="318">
                  <c:v>0.08044283677201212</c:v>
                </c:pt>
                <c:pt idx="319">
                  <c:v>0.08020966786973377</c:v>
                </c:pt>
                <c:pt idx="320">
                  <c:v>0.08070169817659456</c:v>
                </c:pt>
                <c:pt idx="321">
                  <c:v>0.06074874101061916</c:v>
                </c:pt>
                <c:pt idx="322">
                  <c:v>0.07428259597738603</c:v>
                </c:pt>
                <c:pt idx="323">
                  <c:v>0.0913796753146954</c:v>
                </c:pt>
                <c:pt idx="324">
                  <c:v>0.057613898752041856</c:v>
                </c:pt>
                <c:pt idx="325">
                  <c:v>0.07612679737805035</c:v>
                </c:pt>
                <c:pt idx="326">
                  <c:v>0.06098406469919967</c:v>
                </c:pt>
                <c:pt idx="327">
                  <c:v>0.05036232163255964</c:v>
                </c:pt>
                <c:pt idx="328">
                  <c:v>0.09429588213835803</c:v>
                </c:pt>
                <c:pt idx="329">
                  <c:v>0.09950883135832866</c:v>
                </c:pt>
                <c:pt idx="330">
                  <c:v>0.06588423675200666</c:v>
                </c:pt>
                <c:pt idx="331">
                  <c:v>0.046537809735956545</c:v>
                </c:pt>
                <c:pt idx="332">
                  <c:v>0.04656681920088847</c:v>
                </c:pt>
                <c:pt idx="333">
                  <c:v>0.050760757817938214</c:v>
                </c:pt>
                <c:pt idx="334">
                  <c:v>0.04422168292137356</c:v>
                </c:pt>
                <c:pt idx="335">
                  <c:v>0.02884144623970332</c:v>
                </c:pt>
                <c:pt idx="336">
                  <c:v>0.02914698940942176</c:v>
                </c:pt>
                <c:pt idx="337">
                  <c:v>0.024546307523188517</c:v>
                </c:pt>
                <c:pt idx="338">
                  <c:v>0.03616178187708239</c:v>
                </c:pt>
                <c:pt idx="339">
                  <c:v>0.07298918156697604</c:v>
                </c:pt>
                <c:pt idx="340">
                  <c:v>0.06956622755841385</c:v>
                </c:pt>
                <c:pt idx="341">
                  <c:v>0.05503924378660274</c:v>
                </c:pt>
                <c:pt idx="342">
                  <c:v>0.0418806417283673</c:v>
                </c:pt>
                <c:pt idx="343">
                  <c:v>0.06473998973358286</c:v>
                </c:pt>
                <c:pt idx="344">
                  <c:v>0.05408446601849179</c:v>
                </c:pt>
                <c:pt idx="345">
                  <c:v>0.053298659467746395</c:v>
                </c:pt>
                <c:pt idx="346">
                  <c:v>0.05433161598507451</c:v>
                </c:pt>
                <c:pt idx="347">
                  <c:v>0.06045943881788806</c:v>
                </c:pt>
                <c:pt idx="348">
                  <c:v>0.0696885252909958</c:v>
                </c:pt>
                <c:pt idx="349">
                  <c:v>0.06792268296376745</c:v>
                </c:pt>
                <c:pt idx="350">
                  <c:v>0.077588476502516</c:v>
                </c:pt>
                <c:pt idx="351">
                  <c:v>0.042899688077944864</c:v>
                </c:pt>
                <c:pt idx="352">
                  <c:v>0.03106302405725076</c:v>
                </c:pt>
                <c:pt idx="353">
                  <c:v>0.01624665531309441</c:v>
                </c:pt>
                <c:pt idx="354">
                  <c:v>0.027143986522487226</c:v>
                </c:pt>
                <c:pt idx="355">
                  <c:v>0.012668118960286683</c:v>
                </c:pt>
                <c:pt idx="356">
                  <c:v>0.015094520902524958</c:v>
                </c:pt>
                <c:pt idx="357">
                  <c:v>0.02962479705343847</c:v>
                </c:pt>
                <c:pt idx="358">
                  <c:v>0.037846108364409596</c:v>
                </c:pt>
                <c:pt idx="359">
                  <c:v>0.01911687970439012</c:v>
                </c:pt>
                <c:pt idx="360">
                  <c:v>0.005467073113872054</c:v>
                </c:pt>
                <c:pt idx="361">
                  <c:v>-0.01845648398899608</c:v>
                </c:pt>
                <c:pt idx="362">
                  <c:v>-0.030233750555425255</c:v>
                </c:pt>
                <c:pt idx="363">
                  <c:v>-0.018278671825892878</c:v>
                </c:pt>
                <c:pt idx="364">
                  <c:v>-0.033423131827839604</c:v>
                </c:pt>
                <c:pt idx="365">
                  <c:v>-0.01567254558983478</c:v>
                </c:pt>
                <c:pt idx="366">
                  <c:v>-0.009073313880795979</c:v>
                </c:pt>
                <c:pt idx="367">
                  <c:v>-0.0024445416304096114</c:v>
                </c:pt>
                <c:pt idx="368">
                  <c:v>0.01822158096124208</c:v>
                </c:pt>
                <c:pt idx="369">
                  <c:v>-0.020063948385249192</c:v>
                </c:pt>
                <c:pt idx="370">
                  <c:v>-0.05229877911830684</c:v>
                </c:pt>
                <c:pt idx="371">
                  <c:v>-0.027841038579426103</c:v>
                </c:pt>
                <c:pt idx="372">
                  <c:v>-0.031684542966827364</c:v>
                </c:pt>
                <c:pt idx="373">
                  <c:v>-0.042935512656153876</c:v>
                </c:pt>
                <c:pt idx="374">
                  <c:v>-0.03492328589534261</c:v>
                </c:pt>
                <c:pt idx="375">
                  <c:v>-0.007947652386582803</c:v>
                </c:pt>
                <c:pt idx="376">
                  <c:v>0.013959682417229067</c:v>
                </c:pt>
                <c:pt idx="377">
                  <c:v>0.021993352998275532</c:v>
                </c:pt>
                <c:pt idx="378">
                  <c:v>0.007691682565343046</c:v>
                </c:pt>
                <c:pt idx="379">
                  <c:v>0.005846334225886997</c:v>
                </c:pt>
                <c:pt idx="380">
                  <c:v>0.0021920327551860582</c:v>
                </c:pt>
                <c:pt idx="381">
                  <c:v>0.003913519932911234</c:v>
                </c:pt>
                <c:pt idx="382">
                  <c:v>0.004996068246793755</c:v>
                </c:pt>
                <c:pt idx="383">
                  <c:v>0.002358295439695031</c:v>
                </c:pt>
                <c:pt idx="384">
                  <c:v>-0.007420179894464097</c:v>
                </c:pt>
                <c:pt idx="385">
                  <c:v>-0.000996967848952411</c:v>
                </c:pt>
                <c:pt idx="386">
                  <c:v>0.014482775486362894</c:v>
                </c:pt>
                <c:pt idx="387">
                  <c:v>0.04156944655771766</c:v>
                </c:pt>
                <c:pt idx="388">
                  <c:v>0.013694518110016103</c:v>
                </c:pt>
                <c:pt idx="389">
                  <c:v>-0.02299362949538147</c:v>
                </c:pt>
                <c:pt idx="390">
                  <c:v>-0.01496986438035674</c:v>
                </c:pt>
                <c:pt idx="391">
                  <c:v>-0.006450784870164179</c:v>
                </c:pt>
                <c:pt idx="392">
                  <c:v>-0.011517724069681044</c:v>
                </c:pt>
                <c:pt idx="393">
                  <c:v>-0.05112119619863168</c:v>
                </c:pt>
                <c:pt idx="394">
                  <c:v>-0.025535364314298665</c:v>
                </c:pt>
                <c:pt idx="395">
                  <c:v>-0.02920192498453752</c:v>
                </c:pt>
                <c:pt idx="396">
                  <c:v>-0.00692123375161777</c:v>
                </c:pt>
                <c:pt idx="397">
                  <c:v>0.002359251068245745</c:v>
                </c:pt>
                <c:pt idx="398">
                  <c:v>-0.04827355561824126</c:v>
                </c:pt>
                <c:pt idx="399">
                  <c:v>-0.07705598575184464</c:v>
                </c:pt>
                <c:pt idx="400">
                  <c:v>-0.05902175771584435</c:v>
                </c:pt>
                <c:pt idx="401">
                  <c:v>-0.08010913230869258</c:v>
                </c:pt>
                <c:pt idx="402">
                  <c:v>-0.08768721123005256</c:v>
                </c:pt>
                <c:pt idx="403">
                  <c:v>-0.10670929052531578</c:v>
                </c:pt>
                <c:pt idx="404">
                  <c:v>-0.12594768869932596</c:v>
                </c:pt>
                <c:pt idx="405">
                  <c:v>-0.08000706816063918</c:v>
                </c:pt>
                <c:pt idx="406">
                  <c:v>-0.08069821636714532</c:v>
                </c:pt>
                <c:pt idx="407">
                  <c:v>-0.06435911657939468</c:v>
                </c:pt>
                <c:pt idx="408">
                  <c:v>-0.07093384279162837</c:v>
                </c:pt>
                <c:pt idx="409">
                  <c:v>-0.0895938882862731</c:v>
                </c:pt>
                <c:pt idx="410">
                  <c:v>-0.10939808326289543</c:v>
                </c:pt>
                <c:pt idx="411">
                  <c:v>-0.11540943827309898</c:v>
                </c:pt>
                <c:pt idx="412">
                  <c:v>-0.10839703354552023</c:v>
                </c:pt>
                <c:pt idx="413">
                  <c:v>-0.09558845294337147</c:v>
                </c:pt>
                <c:pt idx="414">
                  <c:v>-0.11864645988366293</c:v>
                </c:pt>
                <c:pt idx="415">
                  <c:v>-0.08052655006971263</c:v>
                </c:pt>
                <c:pt idx="416">
                  <c:v>-0.044308779716420506</c:v>
                </c:pt>
                <c:pt idx="417">
                  <c:v>-0.057065759002863085</c:v>
                </c:pt>
                <c:pt idx="418">
                  <c:v>-0.06823982921239596</c:v>
                </c:pt>
                <c:pt idx="419">
                  <c:v>-0.10143429113430581</c:v>
                </c:pt>
                <c:pt idx="420">
                  <c:v>-0.11678182894479272</c:v>
                </c:pt>
                <c:pt idx="421">
                  <c:v>-0.12598324402422922</c:v>
                </c:pt>
                <c:pt idx="422">
                  <c:v>-0.09115734389155344</c:v>
                </c:pt>
                <c:pt idx="423">
                  <c:v>-0.05509604424938347</c:v>
                </c:pt>
                <c:pt idx="424">
                  <c:v>-0.08211783122050335</c:v>
                </c:pt>
                <c:pt idx="425">
                  <c:v>-0.07852580257182408</c:v>
                </c:pt>
                <c:pt idx="426">
                  <c:v>-0.05702954675717924</c:v>
                </c:pt>
                <c:pt idx="427">
                  <c:v>-0.06302342883036081</c:v>
                </c:pt>
                <c:pt idx="428">
                  <c:v>-0.05709523760757884</c:v>
                </c:pt>
                <c:pt idx="429">
                  <c:v>-0.07154282855471832</c:v>
                </c:pt>
                <c:pt idx="430">
                  <c:v>-0.06772898042598273</c:v>
                </c:pt>
                <c:pt idx="431">
                  <c:v>-0.0597609637959975</c:v>
                </c:pt>
                <c:pt idx="432">
                  <c:v>-0.02905891978393198</c:v>
                </c:pt>
                <c:pt idx="433">
                  <c:v>-0.03715919464822737</c:v>
                </c:pt>
                <c:pt idx="434">
                  <c:v>-0.04153544769594855</c:v>
                </c:pt>
                <c:pt idx="435">
                  <c:v>-0.03832581838410868</c:v>
                </c:pt>
                <c:pt idx="436">
                  <c:v>-0.05562787647512707</c:v>
                </c:pt>
                <c:pt idx="437">
                  <c:v>-0.04581620720813027</c:v>
                </c:pt>
                <c:pt idx="438">
                  <c:v>-0.02777920910691483</c:v>
                </c:pt>
                <c:pt idx="439">
                  <c:v>-0.042796059414165664</c:v>
                </c:pt>
                <c:pt idx="440">
                  <c:v>-0.058410636709862324</c:v>
                </c:pt>
                <c:pt idx="441">
                  <c:v>-0.05158271741620906</c:v>
                </c:pt>
                <c:pt idx="442">
                  <c:v>-0.06862473407400203</c:v>
                </c:pt>
                <c:pt idx="443">
                  <c:v>-0.07062950819753391</c:v>
                </c:pt>
                <c:pt idx="444">
                  <c:v>-0.06828596880465015</c:v>
                </c:pt>
                <c:pt idx="445">
                  <c:v>-0.06481245914736335</c:v>
                </c:pt>
                <c:pt idx="446">
                  <c:v>-0.0530905347230601</c:v>
                </c:pt>
                <c:pt idx="447">
                  <c:v>-0.04139810067057373</c:v>
                </c:pt>
                <c:pt idx="448">
                  <c:v>-0.04172462821353468</c:v>
                </c:pt>
                <c:pt idx="449">
                  <c:v>-0.03937186090370901</c:v>
                </c:pt>
                <c:pt idx="450">
                  <c:v>-0.06435429148247923</c:v>
                </c:pt>
                <c:pt idx="451">
                  <c:v>-0.0922746455871376</c:v>
                </c:pt>
                <c:pt idx="452">
                  <c:v>-0.09905446126047052</c:v>
                </c:pt>
                <c:pt idx="453">
                  <c:v>-0.10134584574653317</c:v>
                </c:pt>
                <c:pt idx="454">
                  <c:v>-0.07399586017698419</c:v>
                </c:pt>
                <c:pt idx="455">
                  <c:v>-0.05682234128523508</c:v>
                </c:pt>
                <c:pt idx="456">
                  <c:v>-0.04617519454834372</c:v>
                </c:pt>
                <c:pt idx="457">
                  <c:v>-0.05196170650271012</c:v>
                </c:pt>
                <c:pt idx="458">
                  <c:v>-0.08079813497237089</c:v>
                </c:pt>
                <c:pt idx="459">
                  <c:v>-0.08095148398819002</c:v>
                </c:pt>
                <c:pt idx="460">
                  <c:v>-0.07793583950387126</c:v>
                </c:pt>
                <c:pt idx="461">
                  <c:v>-0.09936172871441523</c:v>
                </c:pt>
                <c:pt idx="462">
                  <c:v>-0.10573577965796535</c:v>
                </c:pt>
                <c:pt idx="463">
                  <c:v>-0.05675474340196847</c:v>
                </c:pt>
                <c:pt idx="464">
                  <c:v>-0.03860282258613684</c:v>
                </c:pt>
                <c:pt idx="465">
                  <c:v>-0.03413613342344614</c:v>
                </c:pt>
                <c:pt idx="466">
                  <c:v>-0.03288051489665844</c:v>
                </c:pt>
                <c:pt idx="467">
                  <c:v>-0.05025592191502455</c:v>
                </c:pt>
                <c:pt idx="468">
                  <c:v>-0.051647332080596305</c:v>
                </c:pt>
                <c:pt idx="469">
                  <c:v>-0.05533065855833516</c:v>
                </c:pt>
                <c:pt idx="470">
                  <c:v>-0.03645801741693268</c:v>
                </c:pt>
                <c:pt idx="471">
                  <c:v>-0.028016491381640935</c:v>
                </c:pt>
                <c:pt idx="472">
                  <c:v>-0.027009170713367718</c:v>
                </c:pt>
                <c:pt idx="473">
                  <c:v>-0.005305429627004157</c:v>
                </c:pt>
                <c:pt idx="474">
                  <c:v>0.006101201810925939</c:v>
                </c:pt>
                <c:pt idx="475">
                  <c:v>-0.004509589387534316</c:v>
                </c:pt>
                <c:pt idx="476">
                  <c:v>-0.006034323167409405</c:v>
                </c:pt>
                <c:pt idx="477">
                  <c:v>-0.015930130923022975</c:v>
                </c:pt>
                <c:pt idx="478">
                  <c:v>-0.006353953612210784</c:v>
                </c:pt>
                <c:pt idx="479">
                  <c:v>-0.017979995996122152</c:v>
                </c:pt>
                <c:pt idx="480">
                  <c:v>-0.027415708631817044</c:v>
                </c:pt>
                <c:pt idx="481">
                  <c:v>-0.02334152205565176</c:v>
                </c:pt>
                <c:pt idx="482">
                  <c:v>-0.02597542626645792</c:v>
                </c:pt>
                <c:pt idx="483">
                  <c:v>-0.01658034428806292</c:v>
                </c:pt>
                <c:pt idx="484">
                  <c:v>-0.032780312831153645</c:v>
                </c:pt>
                <c:pt idx="485">
                  <c:v>-0.03527249257507114</c:v>
                </c:pt>
                <c:pt idx="486">
                  <c:v>-0.02970799230997331</c:v>
                </c:pt>
                <c:pt idx="487">
                  <c:v>-0.03706271702674723</c:v>
                </c:pt>
                <c:pt idx="488">
                  <c:v>-0.02083101959070635</c:v>
                </c:pt>
                <c:pt idx="489">
                  <c:v>-0.020505268914588873</c:v>
                </c:pt>
                <c:pt idx="490">
                  <c:v>-0.02881855995016839</c:v>
                </c:pt>
                <c:pt idx="491">
                  <c:v>-0.03468798104257653</c:v>
                </c:pt>
                <c:pt idx="492">
                  <c:v>-0.041385262350951725</c:v>
                </c:pt>
                <c:pt idx="493">
                  <c:v>-0.04011636638671948</c:v>
                </c:pt>
                <c:pt idx="494">
                  <c:v>-0.026582766752178306</c:v>
                </c:pt>
                <c:pt idx="495">
                  <c:v>-0.017316788716773158</c:v>
                </c:pt>
                <c:pt idx="496">
                  <c:v>-0.015393751769673496</c:v>
                </c:pt>
                <c:pt idx="497">
                  <c:v>-0.0174823638456101</c:v>
                </c:pt>
                <c:pt idx="498">
                  <c:v>-0.020327357651964986</c:v>
                </c:pt>
                <c:pt idx="499">
                  <c:v>-0.023273549790667408</c:v>
                </c:pt>
                <c:pt idx="500">
                  <c:v>-0.02409508085439751</c:v>
                </c:pt>
                <c:pt idx="501">
                  <c:v>-0.03564388021267441</c:v>
                </c:pt>
                <c:pt idx="502">
                  <c:v>-0.03640347272366059</c:v>
                </c:pt>
                <c:pt idx="503">
                  <c:v>-0.011141119964010262</c:v>
                </c:pt>
                <c:pt idx="504">
                  <c:v>0.012303129605627091</c:v>
                </c:pt>
                <c:pt idx="505">
                  <c:v>0.011564417529433754</c:v>
                </c:pt>
                <c:pt idx="506">
                  <c:v>-0.0014886624447725551</c:v>
                </c:pt>
                <c:pt idx="507">
                  <c:v>-0.0017652755120630005</c:v>
                </c:pt>
                <c:pt idx="508">
                  <c:v>-0.02857354947054253</c:v>
                </c:pt>
                <c:pt idx="509">
                  <c:v>-0.009755455287287926</c:v>
                </c:pt>
                <c:pt idx="510">
                  <c:v>-0.010802921084397362</c:v>
                </c:pt>
                <c:pt idx="511">
                  <c:v>-0.008082559008645082</c:v>
                </c:pt>
                <c:pt idx="512">
                  <c:v>0.006957129540228454</c:v>
                </c:pt>
                <c:pt idx="513">
                  <c:v>0.003479599491048921</c:v>
                </c:pt>
                <c:pt idx="514">
                  <c:v>-0.007436970594520002</c:v>
                </c:pt>
                <c:pt idx="515">
                  <c:v>-0.010208999403685498</c:v>
                </c:pt>
                <c:pt idx="516">
                  <c:v>-0.014323182882597563</c:v>
                </c:pt>
                <c:pt idx="517">
                  <c:v>-0.03645324373374941</c:v>
                </c:pt>
                <c:pt idx="518">
                  <c:v>-0.0336946809258971</c:v>
                </c:pt>
                <c:pt idx="519">
                  <c:v>-0.020006513584024634</c:v>
                </c:pt>
                <c:pt idx="520">
                  <c:v>-0.005889192225955933</c:v>
                </c:pt>
                <c:pt idx="521">
                  <c:v>-0.020710310745451984</c:v>
                </c:pt>
                <c:pt idx="522">
                  <c:v>-0.014030719483083692</c:v>
                </c:pt>
                <c:pt idx="523">
                  <c:v>-0.031167595904773804</c:v>
                </c:pt>
                <c:pt idx="524">
                  <c:v>-0.0429511037327545</c:v>
                </c:pt>
                <c:pt idx="525">
                  <c:v>-0.03704458232443902</c:v>
                </c:pt>
                <c:pt idx="526">
                  <c:v>-0.028378535104736025</c:v>
                </c:pt>
                <c:pt idx="527">
                  <c:v>-0.03540851785583935</c:v>
                </c:pt>
                <c:pt idx="528">
                  <c:v>-0.03494544174352108</c:v>
                </c:pt>
                <c:pt idx="529">
                  <c:v>-0.011398884961212094</c:v>
                </c:pt>
                <c:pt idx="530">
                  <c:v>-0.008726495012536492</c:v>
                </c:pt>
                <c:pt idx="531">
                  <c:v>-0.016324633084538777</c:v>
                </c:pt>
                <c:pt idx="532">
                  <c:v>-0.017684068043350647</c:v>
                </c:pt>
                <c:pt idx="533">
                  <c:v>-0.006081716050734701</c:v>
                </c:pt>
                <c:pt idx="534">
                  <c:v>-0.031351953487433526</c:v>
                </c:pt>
                <c:pt idx="535">
                  <c:v>-0.01701948964615802</c:v>
                </c:pt>
                <c:pt idx="536">
                  <c:v>-0.004938653743030219</c:v>
                </c:pt>
                <c:pt idx="537">
                  <c:v>-0.011207772204866752</c:v>
                </c:pt>
                <c:pt idx="538">
                  <c:v>-0.0033767067563781764</c:v>
                </c:pt>
                <c:pt idx="539">
                  <c:v>0.0001795589059795279</c:v>
                </c:pt>
                <c:pt idx="540">
                  <c:v>0.004434746910772655</c:v>
                </c:pt>
                <c:pt idx="541">
                  <c:v>0.005222188920626424</c:v>
                </c:pt>
                <c:pt idx="542">
                  <c:v>0.010288223680419841</c:v>
                </c:pt>
                <c:pt idx="543">
                  <c:v>0.009623180515511087</c:v>
                </c:pt>
                <c:pt idx="544">
                  <c:v>-0.012276058867154766</c:v>
                </c:pt>
                <c:pt idx="545">
                  <c:v>-0.00799875926393853</c:v>
                </c:pt>
                <c:pt idx="546">
                  <c:v>0.005092892770171646</c:v>
                </c:pt>
                <c:pt idx="547">
                  <c:v>-0.0017282512605252182</c:v>
                </c:pt>
                <c:pt idx="548">
                  <c:v>-0.004915392313465584</c:v>
                </c:pt>
                <c:pt idx="549">
                  <c:v>0.012227626164063699</c:v>
                </c:pt>
                <c:pt idx="550">
                  <c:v>0.0012687839960592536</c:v>
                </c:pt>
                <c:pt idx="551">
                  <c:v>-0.014842688169890067</c:v>
                </c:pt>
                <c:pt idx="552">
                  <c:v>0.002794800839519365</c:v>
                </c:pt>
                <c:pt idx="553">
                  <c:v>-0.011533532905734707</c:v>
                </c:pt>
                <c:pt idx="554">
                  <c:v>-0.03707103252471499</c:v>
                </c:pt>
                <c:pt idx="555">
                  <c:v>-0.03430822155234321</c:v>
                </c:pt>
                <c:pt idx="556">
                  <c:v>-0.030392435056938647</c:v>
                </c:pt>
                <c:pt idx="557">
                  <c:v>-0.029973151159958324</c:v>
                </c:pt>
                <c:pt idx="558">
                  <c:v>-0.018874110254217247</c:v>
                </c:pt>
                <c:pt idx="559">
                  <c:v>-0.02248561679493</c:v>
                </c:pt>
                <c:pt idx="560">
                  <c:v>-0.026233339090624065</c:v>
                </c:pt>
                <c:pt idx="561">
                  <c:v>-0.04393931847536008</c:v>
                </c:pt>
                <c:pt idx="562">
                  <c:v>-0.040382800058405895</c:v>
                </c:pt>
                <c:pt idx="563">
                  <c:v>-0.03602344331225855</c:v>
                </c:pt>
                <c:pt idx="564">
                  <c:v>-0.05915538158011018</c:v>
                </c:pt>
                <c:pt idx="565">
                  <c:v>-0.060191362937321996</c:v>
                </c:pt>
                <c:pt idx="566">
                  <c:v>-0.04703287358710153</c:v>
                </c:pt>
                <c:pt idx="567">
                  <c:v>-0.04280892770964994</c:v>
                </c:pt>
                <c:pt idx="568">
                  <c:v>-0.037993177545268264</c:v>
                </c:pt>
                <c:pt idx="569">
                  <c:v>-0.04391871619182472</c:v>
                </c:pt>
                <c:pt idx="570">
                  <c:v>-0.042016190642418814</c:v>
                </c:pt>
                <c:pt idx="571">
                  <c:v>-0.038730705186921545</c:v>
                </c:pt>
                <c:pt idx="572">
                  <c:v>-0.033897850433443504</c:v>
                </c:pt>
                <c:pt idx="573">
                  <c:v>-0.042764875121199905</c:v>
                </c:pt>
                <c:pt idx="574">
                  <c:v>-0.03776698635151899</c:v>
                </c:pt>
                <c:pt idx="575">
                  <c:v>-0.04118810721628458</c:v>
                </c:pt>
                <c:pt idx="576">
                  <c:v>-0.04200631397545638</c:v>
                </c:pt>
                <c:pt idx="577">
                  <c:v>-0.02079664638243421</c:v>
                </c:pt>
                <c:pt idx="578">
                  <c:v>-0.015472069407379874</c:v>
                </c:pt>
                <c:pt idx="579">
                  <c:v>-0.012380973017026826</c:v>
                </c:pt>
                <c:pt idx="580">
                  <c:v>-0.0183758720787499</c:v>
                </c:pt>
                <c:pt idx="581">
                  <c:v>-0.019759016541624454</c:v>
                </c:pt>
                <c:pt idx="582">
                  <c:v>-0.01529695442744316</c:v>
                </c:pt>
                <c:pt idx="583">
                  <c:v>-0.024668797684007846</c:v>
                </c:pt>
                <c:pt idx="584">
                  <c:v>-0.026024692455957538</c:v>
                </c:pt>
                <c:pt idx="585">
                  <c:v>-0.01917984277644725</c:v>
                </c:pt>
                <c:pt idx="586">
                  <c:v>-0.025729226753049513</c:v>
                </c:pt>
                <c:pt idx="587">
                  <c:v>-0.02240348464386811</c:v>
                </c:pt>
                <c:pt idx="588">
                  <c:v>-0.0033721594866729927</c:v>
                </c:pt>
                <c:pt idx="589">
                  <c:v>-0.010078806039059997</c:v>
                </c:pt>
                <c:pt idx="590">
                  <c:v>-0.036168109716428594</c:v>
                </c:pt>
                <c:pt idx="591">
                  <c:v>-0.037662084520733906</c:v>
                </c:pt>
                <c:pt idx="592">
                  <c:v>-0.03235944078881186</c:v>
                </c:pt>
                <c:pt idx="593">
                  <c:v>-0.03808702579807058</c:v>
                </c:pt>
                <c:pt idx="594">
                  <c:v>-0.029548759538170762</c:v>
                </c:pt>
                <c:pt idx="595">
                  <c:v>-0.03282706467321664</c:v>
                </c:pt>
                <c:pt idx="596">
                  <c:v>-0.04038788861709154</c:v>
                </c:pt>
                <c:pt idx="597">
                  <c:v>-0.03052084418625793</c:v>
                </c:pt>
                <c:pt idx="598">
                  <c:v>-0.030601648946197723</c:v>
                </c:pt>
                <c:pt idx="599">
                  <c:v>-0.026418392630147558</c:v>
                </c:pt>
                <c:pt idx="600">
                  <c:v>-0.0306444558707231</c:v>
                </c:pt>
                <c:pt idx="601">
                  <c:v>-0.05008170662945026</c:v>
                </c:pt>
                <c:pt idx="602">
                  <c:v>-0.029399336307115175</c:v>
                </c:pt>
                <c:pt idx="603">
                  <c:v>-0.028235327924476063</c:v>
                </c:pt>
                <c:pt idx="604">
                  <c:v>-0.03319442581059627</c:v>
                </c:pt>
                <c:pt idx="605">
                  <c:v>-0.022168624734053403</c:v>
                </c:pt>
                <c:pt idx="606">
                  <c:v>-0.03620506667264205</c:v>
                </c:pt>
                <c:pt idx="607">
                  <c:v>-0.03509674816666446</c:v>
                </c:pt>
                <c:pt idx="608">
                  <c:v>-0.01837858671772276</c:v>
                </c:pt>
                <c:pt idx="609">
                  <c:v>-0.02533164739126737</c:v>
                </c:pt>
                <c:pt idx="610">
                  <c:v>-0.024313924787016085</c:v>
                </c:pt>
                <c:pt idx="611">
                  <c:v>-0.01880422117626049</c:v>
                </c:pt>
                <c:pt idx="612">
                  <c:v>-0.033964398273074806</c:v>
                </c:pt>
                <c:pt idx="613">
                  <c:v>-0.020813470118646475</c:v>
                </c:pt>
                <c:pt idx="614">
                  <c:v>-0.008292122325994612</c:v>
                </c:pt>
                <c:pt idx="615">
                  <c:v>-0.01171191673823568</c:v>
                </c:pt>
                <c:pt idx="616">
                  <c:v>-0.021542434491349318</c:v>
                </c:pt>
                <c:pt idx="617">
                  <c:v>-0.02824598295985347</c:v>
                </c:pt>
                <c:pt idx="618">
                  <c:v>-0.0010789178554679768</c:v>
                </c:pt>
                <c:pt idx="619">
                  <c:v>-0.008448080358801307</c:v>
                </c:pt>
                <c:pt idx="620">
                  <c:v>-0.01794510207169714</c:v>
                </c:pt>
                <c:pt idx="621">
                  <c:v>-0.010994653729241459</c:v>
                </c:pt>
                <c:pt idx="622">
                  <c:v>-0.025850750521647533</c:v>
                </c:pt>
                <c:pt idx="623">
                  <c:v>-0.027544133099946466</c:v>
                </c:pt>
                <c:pt idx="624">
                  <c:v>0.003975319285533577</c:v>
                </c:pt>
                <c:pt idx="625">
                  <c:v>-0.0025499486743983295</c:v>
                </c:pt>
                <c:pt idx="626">
                  <c:v>-0.018998849070056657</c:v>
                </c:pt>
                <c:pt idx="627">
                  <c:v>-0.018798889564031876</c:v>
                </c:pt>
                <c:pt idx="628">
                  <c:v>-0.01087142708904345</c:v>
                </c:pt>
                <c:pt idx="629">
                  <c:v>0.002396123754067824</c:v>
                </c:pt>
                <c:pt idx="630">
                  <c:v>-0.014580928917920809</c:v>
                </c:pt>
                <c:pt idx="631">
                  <c:v>-0.014662940487500421</c:v>
                </c:pt>
                <c:pt idx="632">
                  <c:v>-0.010396838348528881</c:v>
                </c:pt>
                <c:pt idx="633">
                  <c:v>-0.010416626553127207</c:v>
                </c:pt>
                <c:pt idx="634">
                  <c:v>-0.00040810759615727936</c:v>
                </c:pt>
                <c:pt idx="635">
                  <c:v>0.00600653186313809</c:v>
                </c:pt>
                <c:pt idx="636">
                  <c:v>-0.01005061358273941</c:v>
                </c:pt>
              </c:numCache>
            </c:numRef>
          </c:val>
          <c:smooth val="0"/>
        </c:ser>
        <c:marker val="1"/>
        <c:axId val="5043542"/>
        <c:axId val="45391879"/>
      </c:lineChart>
      <c:catAx>
        <c:axId val="50435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Lag in Months</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391879"/>
        <c:crosses val="autoZero"/>
        <c:auto val="1"/>
        <c:lblOffset val="100"/>
        <c:tickLblSkip val="20"/>
        <c:noMultiLvlLbl val="0"/>
      </c:catAx>
      <c:valAx>
        <c:axId val="453918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Sample Autocorrelation</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4354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Correlogram of First Differences of Real Interest Rates</a:t>
            </a:r>
          </a:p>
        </c:rich>
      </c:tx>
      <c:layout>
        <c:manualLayout>
          <c:xMode val="factor"/>
          <c:yMode val="factor"/>
          <c:x val="0.00325"/>
          <c:y val="0"/>
        </c:manualLayout>
      </c:layout>
      <c:spPr>
        <a:noFill/>
        <a:ln>
          <a:noFill/>
        </a:ln>
      </c:spPr>
    </c:title>
    <c:plotArea>
      <c:layout>
        <c:manualLayout>
          <c:xMode val="edge"/>
          <c:yMode val="edge"/>
          <c:x val="0.04"/>
          <c:y val="0.1095"/>
          <c:w val="0.9475"/>
          <c:h val="0.830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'real interest rates'!$R$7:$R$642</c:f>
              <c:numCache>
                <c:ptCount val="636"/>
                <c:pt idx="0">
                  <c:v>-0.38778354040238855</c:v>
                </c:pt>
                <c:pt idx="1">
                  <c:v>-0.0876650788064596</c:v>
                </c:pt>
                <c:pt idx="2">
                  <c:v>0.03493233884312249</c:v>
                </c:pt>
                <c:pt idx="3">
                  <c:v>-0.07612450883027545</c:v>
                </c:pt>
                <c:pt idx="4">
                  <c:v>0.02763941263053518</c:v>
                </c:pt>
                <c:pt idx="5">
                  <c:v>-0.012241484452555833</c:v>
                </c:pt>
                <c:pt idx="6">
                  <c:v>-0.014299057102795672</c:v>
                </c:pt>
                <c:pt idx="7">
                  <c:v>-0.02876439357101917</c:v>
                </c:pt>
                <c:pt idx="8">
                  <c:v>0.05699351640491147</c:v>
                </c:pt>
                <c:pt idx="9">
                  <c:v>0.07196377890295651</c:v>
                </c:pt>
                <c:pt idx="10">
                  <c:v>0.06411778028175565</c:v>
                </c:pt>
                <c:pt idx="11">
                  <c:v>-0.18209976877382728</c:v>
                </c:pt>
                <c:pt idx="12">
                  <c:v>0.05927047881583746</c:v>
                </c:pt>
                <c:pt idx="13">
                  <c:v>-0.07141766021492692</c:v>
                </c:pt>
                <c:pt idx="14">
                  <c:v>0.01624126513976015</c:v>
                </c:pt>
                <c:pt idx="15">
                  <c:v>0.07609164525631154</c:v>
                </c:pt>
                <c:pt idx="16">
                  <c:v>-0.025168049714033386</c:v>
                </c:pt>
                <c:pt idx="17">
                  <c:v>-0.0072602784187007245</c:v>
                </c:pt>
                <c:pt idx="18">
                  <c:v>-0.02160817058211691</c:v>
                </c:pt>
                <c:pt idx="19">
                  <c:v>0.027564748065258365</c:v>
                </c:pt>
                <c:pt idx="20">
                  <c:v>-0.0015089029960859478</c:v>
                </c:pt>
                <c:pt idx="21">
                  <c:v>0.018181290815335212</c:v>
                </c:pt>
                <c:pt idx="22">
                  <c:v>0.0034196187657321393</c:v>
                </c:pt>
                <c:pt idx="23">
                  <c:v>-0.08426949829114229</c:v>
                </c:pt>
                <c:pt idx="24">
                  <c:v>0.04399342209791352</c:v>
                </c:pt>
                <c:pt idx="25">
                  <c:v>-0.010260141384164284</c:v>
                </c:pt>
                <c:pt idx="26">
                  <c:v>0.0071774402569782115</c:v>
                </c:pt>
                <c:pt idx="27">
                  <c:v>-0.07332912007059719</c:v>
                </c:pt>
                <c:pt idx="28">
                  <c:v>0.11110084139385974</c:v>
                </c:pt>
                <c:pt idx="29">
                  <c:v>-0.06430332320702806</c:v>
                </c:pt>
                <c:pt idx="30">
                  <c:v>0.008632987471777208</c:v>
                </c:pt>
                <c:pt idx="31">
                  <c:v>0.07518851389404235</c:v>
                </c:pt>
                <c:pt idx="32">
                  <c:v>-0.007170023798177426</c:v>
                </c:pt>
                <c:pt idx="33">
                  <c:v>-0.03658657962609023</c:v>
                </c:pt>
                <c:pt idx="34">
                  <c:v>-0.053762934585660636</c:v>
                </c:pt>
                <c:pt idx="35">
                  <c:v>0.014438320068861053</c:v>
                </c:pt>
                <c:pt idx="36">
                  <c:v>0.006458021687852624</c:v>
                </c:pt>
                <c:pt idx="37">
                  <c:v>0.0424840813947949</c:v>
                </c:pt>
                <c:pt idx="38">
                  <c:v>-0.06332048933053812</c:v>
                </c:pt>
                <c:pt idx="39">
                  <c:v>0.09840089023310086</c:v>
                </c:pt>
                <c:pt idx="40">
                  <c:v>-0.013991484047378063</c:v>
                </c:pt>
                <c:pt idx="41">
                  <c:v>0.005650545453464986</c:v>
                </c:pt>
                <c:pt idx="42">
                  <c:v>-0.03356242557412306</c:v>
                </c:pt>
                <c:pt idx="43">
                  <c:v>0.00855396796838581</c:v>
                </c:pt>
                <c:pt idx="44">
                  <c:v>-0.08302364861521916</c:v>
                </c:pt>
                <c:pt idx="45">
                  <c:v>-0.00024037221522989994</c:v>
                </c:pt>
                <c:pt idx="46">
                  <c:v>0.06849530669724345</c:v>
                </c:pt>
                <c:pt idx="47">
                  <c:v>0.03659374878190713</c:v>
                </c:pt>
                <c:pt idx="48">
                  <c:v>-0.019170671588273888</c:v>
                </c:pt>
                <c:pt idx="49">
                  <c:v>-0.02675836030701748</c:v>
                </c:pt>
                <c:pt idx="50">
                  <c:v>0.061472121695492536</c:v>
                </c:pt>
                <c:pt idx="51">
                  <c:v>-0.08051494592365155</c:v>
                </c:pt>
                <c:pt idx="52">
                  <c:v>0.017106250923885576</c:v>
                </c:pt>
                <c:pt idx="53">
                  <c:v>-0.025412756022725608</c:v>
                </c:pt>
                <c:pt idx="54">
                  <c:v>0.05212815371449598</c:v>
                </c:pt>
                <c:pt idx="55">
                  <c:v>-0.025579182503767676</c:v>
                </c:pt>
                <c:pt idx="56">
                  <c:v>0.024933054591083637</c:v>
                </c:pt>
                <c:pt idx="57">
                  <c:v>-0.011822049281229772</c:v>
                </c:pt>
                <c:pt idx="58">
                  <c:v>0.002573457297790632</c:v>
                </c:pt>
                <c:pt idx="59">
                  <c:v>0.0011334152134455258</c:v>
                </c:pt>
                <c:pt idx="60">
                  <c:v>-0.0411707545007046</c:v>
                </c:pt>
                <c:pt idx="61">
                  <c:v>0.01520726568439648</c:v>
                </c:pt>
                <c:pt idx="62">
                  <c:v>0.016412408466540945</c:v>
                </c:pt>
                <c:pt idx="63">
                  <c:v>-0.01212913403911267</c:v>
                </c:pt>
                <c:pt idx="64">
                  <c:v>0.027301981999229917</c:v>
                </c:pt>
                <c:pt idx="65">
                  <c:v>-0.019440131752062124</c:v>
                </c:pt>
                <c:pt idx="66">
                  <c:v>-0.004314960813115382</c:v>
                </c:pt>
                <c:pt idx="67">
                  <c:v>-0.01436915685283146</c:v>
                </c:pt>
                <c:pt idx="68">
                  <c:v>0.07960254628768826</c:v>
                </c:pt>
                <c:pt idx="69">
                  <c:v>-0.04915738954091031</c:v>
                </c:pt>
                <c:pt idx="70">
                  <c:v>-0.043374813962880746</c:v>
                </c:pt>
                <c:pt idx="71">
                  <c:v>0.056136611150183625</c:v>
                </c:pt>
                <c:pt idx="72">
                  <c:v>0.009772233489414384</c:v>
                </c:pt>
                <c:pt idx="73">
                  <c:v>-0.02683940612908124</c:v>
                </c:pt>
                <c:pt idx="74">
                  <c:v>-0.02606095958582693</c:v>
                </c:pt>
                <c:pt idx="75">
                  <c:v>0.03567602528773988</c:v>
                </c:pt>
                <c:pt idx="76">
                  <c:v>-0.024526521541815845</c:v>
                </c:pt>
                <c:pt idx="77">
                  <c:v>0.035914800172375506</c:v>
                </c:pt>
                <c:pt idx="78">
                  <c:v>-0.02850308029287963</c:v>
                </c:pt>
                <c:pt idx="79">
                  <c:v>0.024285367979746585</c:v>
                </c:pt>
                <c:pt idx="80">
                  <c:v>-0.053820699189569866</c:v>
                </c:pt>
                <c:pt idx="81">
                  <c:v>0.05178114014937694</c:v>
                </c:pt>
                <c:pt idx="82">
                  <c:v>-0.03465644119268582</c:v>
                </c:pt>
                <c:pt idx="83">
                  <c:v>0.047050648755782014</c:v>
                </c:pt>
                <c:pt idx="84">
                  <c:v>-0.04458272157469658</c:v>
                </c:pt>
                <c:pt idx="85">
                  <c:v>0.02982582066552423</c:v>
                </c:pt>
                <c:pt idx="86">
                  <c:v>-0.006383870848056378</c:v>
                </c:pt>
                <c:pt idx="87">
                  <c:v>-0.011510365407818702</c:v>
                </c:pt>
                <c:pt idx="88">
                  <c:v>0.029132711586494425</c:v>
                </c:pt>
                <c:pt idx="89">
                  <c:v>-0.017934014609953978</c:v>
                </c:pt>
                <c:pt idx="90">
                  <c:v>-0.020266302177072884</c:v>
                </c:pt>
                <c:pt idx="91">
                  <c:v>0.003800900412789849</c:v>
                </c:pt>
                <c:pt idx="92">
                  <c:v>0.005022636661358125</c:v>
                </c:pt>
                <c:pt idx="93">
                  <c:v>0.013924754605813931</c:v>
                </c:pt>
                <c:pt idx="94">
                  <c:v>0.004148362418151603</c:v>
                </c:pt>
                <c:pt idx="95">
                  <c:v>-0.019092553123159786</c:v>
                </c:pt>
                <c:pt idx="96">
                  <c:v>0.0019467744338798427</c:v>
                </c:pt>
                <c:pt idx="97">
                  <c:v>-0.022378697542168646</c:v>
                </c:pt>
                <c:pt idx="98">
                  <c:v>0.01357705167308917</c:v>
                </c:pt>
                <c:pt idx="99">
                  <c:v>0.02795440914153025</c:v>
                </c:pt>
                <c:pt idx="100">
                  <c:v>-0.04766530358467174</c:v>
                </c:pt>
                <c:pt idx="101">
                  <c:v>0.04436875837027533</c:v>
                </c:pt>
                <c:pt idx="102">
                  <c:v>-0.021012184489130795</c:v>
                </c:pt>
                <c:pt idx="103">
                  <c:v>0.02627437909533332</c:v>
                </c:pt>
                <c:pt idx="104">
                  <c:v>-0.01949815468353751</c:v>
                </c:pt>
                <c:pt idx="105">
                  <c:v>-0.0031973490149341277</c:v>
                </c:pt>
                <c:pt idx="106">
                  <c:v>0.010167928206488066</c:v>
                </c:pt>
                <c:pt idx="107">
                  <c:v>-0.027781103630763266</c:v>
                </c:pt>
                <c:pt idx="108">
                  <c:v>0.015149280415201862</c:v>
                </c:pt>
                <c:pt idx="109">
                  <c:v>-0.01985968825863112</c:v>
                </c:pt>
                <c:pt idx="110">
                  <c:v>0.04464707217692017</c:v>
                </c:pt>
                <c:pt idx="111">
                  <c:v>-0.03287661639554038</c:v>
                </c:pt>
                <c:pt idx="112">
                  <c:v>0.03814569158295585</c:v>
                </c:pt>
                <c:pt idx="113">
                  <c:v>-0.06588694251016608</c:v>
                </c:pt>
                <c:pt idx="114">
                  <c:v>0.034754096261066784</c:v>
                </c:pt>
                <c:pt idx="115">
                  <c:v>0.006971864355819231</c:v>
                </c:pt>
                <c:pt idx="116">
                  <c:v>0.0026319029319077864</c:v>
                </c:pt>
                <c:pt idx="117">
                  <c:v>0.0161530335048044</c:v>
                </c:pt>
                <c:pt idx="118">
                  <c:v>-0.04080144842737589</c:v>
                </c:pt>
                <c:pt idx="119">
                  <c:v>0.04427297070642351</c:v>
                </c:pt>
                <c:pt idx="120">
                  <c:v>-0.05816849067786562</c:v>
                </c:pt>
                <c:pt idx="121">
                  <c:v>0.04362545245984695</c:v>
                </c:pt>
                <c:pt idx="122">
                  <c:v>-0.019735341908291983</c:v>
                </c:pt>
                <c:pt idx="123">
                  <c:v>0.010711009908707173</c:v>
                </c:pt>
                <c:pt idx="124">
                  <c:v>-0.005027219826319428</c:v>
                </c:pt>
                <c:pt idx="125">
                  <c:v>0.01817267639268789</c:v>
                </c:pt>
                <c:pt idx="126">
                  <c:v>0.007680692811540247</c:v>
                </c:pt>
                <c:pt idx="127">
                  <c:v>-0.0065571237765680536</c:v>
                </c:pt>
                <c:pt idx="128">
                  <c:v>-0.007776872248950344</c:v>
                </c:pt>
                <c:pt idx="129">
                  <c:v>-0.06794938224311195</c:v>
                </c:pt>
                <c:pt idx="130">
                  <c:v>0.042084372810372306</c:v>
                </c:pt>
                <c:pt idx="131">
                  <c:v>0.03488792629148499</c:v>
                </c:pt>
                <c:pt idx="132">
                  <c:v>-0.002818760134052837</c:v>
                </c:pt>
                <c:pt idx="133">
                  <c:v>0.0018775416947852416</c:v>
                </c:pt>
                <c:pt idx="134">
                  <c:v>-0.005062392564897261</c:v>
                </c:pt>
                <c:pt idx="135">
                  <c:v>-0.01764810158136933</c:v>
                </c:pt>
                <c:pt idx="136">
                  <c:v>0.011747881185880844</c:v>
                </c:pt>
                <c:pt idx="137">
                  <c:v>0.00028118067033319066</c:v>
                </c:pt>
                <c:pt idx="138">
                  <c:v>-0.04450847131258541</c:v>
                </c:pt>
                <c:pt idx="139">
                  <c:v>0.04426272893039945</c:v>
                </c:pt>
                <c:pt idx="140">
                  <c:v>0.011219556430570394</c:v>
                </c:pt>
                <c:pt idx="141">
                  <c:v>-0.0204733464780007</c:v>
                </c:pt>
                <c:pt idx="142">
                  <c:v>0.011391801455373574</c:v>
                </c:pt>
                <c:pt idx="143">
                  <c:v>-0.0034089305413967145</c:v>
                </c:pt>
                <c:pt idx="144">
                  <c:v>0.001577740043377102</c:v>
                </c:pt>
                <c:pt idx="145">
                  <c:v>-0.034856995871097585</c:v>
                </c:pt>
                <c:pt idx="146">
                  <c:v>0.03030279677442007</c:v>
                </c:pt>
                <c:pt idx="147">
                  <c:v>-0.007621170545143109</c:v>
                </c:pt>
                <c:pt idx="148">
                  <c:v>0.011082687771781329</c:v>
                </c:pt>
                <c:pt idx="149">
                  <c:v>-0.01190270663024854</c:v>
                </c:pt>
                <c:pt idx="150">
                  <c:v>0.03074317368027041</c:v>
                </c:pt>
                <c:pt idx="151">
                  <c:v>-0.04498702611983582</c:v>
                </c:pt>
                <c:pt idx="152">
                  <c:v>0.015371803645062148</c:v>
                </c:pt>
                <c:pt idx="153">
                  <c:v>0.007250379759095495</c:v>
                </c:pt>
                <c:pt idx="154">
                  <c:v>0.02683129744016455</c:v>
                </c:pt>
                <c:pt idx="155">
                  <c:v>-0.019698191751469602</c:v>
                </c:pt>
                <c:pt idx="156">
                  <c:v>-0.01313674444185861</c:v>
                </c:pt>
                <c:pt idx="157">
                  <c:v>0.007684760901035686</c:v>
                </c:pt>
                <c:pt idx="158">
                  <c:v>-0.02307401650665396</c:v>
                </c:pt>
                <c:pt idx="159">
                  <c:v>0.03995125363047508</c:v>
                </c:pt>
                <c:pt idx="160">
                  <c:v>-0.03763172790109932</c:v>
                </c:pt>
                <c:pt idx="161">
                  <c:v>0.025184895146390697</c:v>
                </c:pt>
                <c:pt idx="162">
                  <c:v>-0.02724713380137474</c:v>
                </c:pt>
                <c:pt idx="163">
                  <c:v>0.045441435500931035</c:v>
                </c:pt>
                <c:pt idx="164">
                  <c:v>-0.05390844579004367</c:v>
                </c:pt>
                <c:pt idx="165">
                  <c:v>0.0795428059511271</c:v>
                </c:pt>
                <c:pt idx="166">
                  <c:v>-0.03952283058857753</c:v>
                </c:pt>
                <c:pt idx="167">
                  <c:v>-0.04332472199178389</c:v>
                </c:pt>
                <c:pt idx="168">
                  <c:v>0.03736611270919945</c:v>
                </c:pt>
                <c:pt idx="169">
                  <c:v>-0.028761391371983656</c:v>
                </c:pt>
                <c:pt idx="170">
                  <c:v>0.011887824625042525</c:v>
                </c:pt>
                <c:pt idx="171">
                  <c:v>0.04661622533959355</c:v>
                </c:pt>
                <c:pt idx="172">
                  <c:v>-0.003194280360163552</c:v>
                </c:pt>
                <c:pt idx="173">
                  <c:v>-0.05447979281322808</c:v>
                </c:pt>
                <c:pt idx="174">
                  <c:v>0.041389756020143574</c:v>
                </c:pt>
                <c:pt idx="175">
                  <c:v>-0.020100781716195008</c:v>
                </c:pt>
                <c:pt idx="176">
                  <c:v>-0.004756186092119109</c:v>
                </c:pt>
                <c:pt idx="177">
                  <c:v>-0.012870248833348247</c:v>
                </c:pt>
                <c:pt idx="178">
                  <c:v>-0.013879273968885969</c:v>
                </c:pt>
                <c:pt idx="179">
                  <c:v>0.045729522961735575</c:v>
                </c:pt>
                <c:pt idx="180">
                  <c:v>-0.02053654204147971</c:v>
                </c:pt>
                <c:pt idx="181">
                  <c:v>0.051252680067154034</c:v>
                </c:pt>
                <c:pt idx="182">
                  <c:v>-0.02909497880552706</c:v>
                </c:pt>
                <c:pt idx="183">
                  <c:v>-0.016419780210217626</c:v>
                </c:pt>
                <c:pt idx="184">
                  <c:v>-0.01518074506597671</c:v>
                </c:pt>
                <c:pt idx="185">
                  <c:v>-0.025250906183441543</c:v>
                </c:pt>
                <c:pt idx="186">
                  <c:v>0.07644089508577352</c:v>
                </c:pt>
                <c:pt idx="187">
                  <c:v>-0.0528063987802365</c:v>
                </c:pt>
                <c:pt idx="188">
                  <c:v>0.0501869437899679</c:v>
                </c:pt>
                <c:pt idx="189">
                  <c:v>-0.0484615274717864</c:v>
                </c:pt>
                <c:pt idx="190">
                  <c:v>-0.0047085832339740195</c:v>
                </c:pt>
                <c:pt idx="191">
                  <c:v>0.044991430314229613</c:v>
                </c:pt>
                <c:pt idx="192">
                  <c:v>-0.0258633898520371</c:v>
                </c:pt>
                <c:pt idx="193">
                  <c:v>0.00582040569155156</c:v>
                </c:pt>
                <c:pt idx="194">
                  <c:v>0.00202352957214358</c:v>
                </c:pt>
                <c:pt idx="195">
                  <c:v>-0.026922105487208508</c:v>
                </c:pt>
                <c:pt idx="196">
                  <c:v>0.02615637521571913</c:v>
                </c:pt>
                <c:pt idx="197">
                  <c:v>0.020317845051144458</c:v>
                </c:pt>
                <c:pt idx="198">
                  <c:v>-0.07014203132913413</c:v>
                </c:pt>
                <c:pt idx="199">
                  <c:v>0.07027957512812213</c:v>
                </c:pt>
                <c:pt idx="200">
                  <c:v>-0.06234097275869934</c:v>
                </c:pt>
                <c:pt idx="201">
                  <c:v>0.06021559221265951</c:v>
                </c:pt>
                <c:pt idx="202">
                  <c:v>0.0035684562209188347</c:v>
                </c:pt>
                <c:pt idx="203">
                  <c:v>0.009275809349917407</c:v>
                </c:pt>
                <c:pt idx="204">
                  <c:v>-0.06488835372831714</c:v>
                </c:pt>
                <c:pt idx="205">
                  <c:v>0.03261709985831988</c:v>
                </c:pt>
                <c:pt idx="206">
                  <c:v>-0.035523623035181015</c:v>
                </c:pt>
                <c:pt idx="207">
                  <c:v>0.014336478479745795</c:v>
                </c:pt>
                <c:pt idx="208">
                  <c:v>0.03348890564535951</c:v>
                </c:pt>
                <c:pt idx="209">
                  <c:v>-0.015049594388204362</c:v>
                </c:pt>
                <c:pt idx="210">
                  <c:v>0.008139424144925678</c:v>
                </c:pt>
                <c:pt idx="211">
                  <c:v>-0.014159280035194507</c:v>
                </c:pt>
                <c:pt idx="212">
                  <c:v>0.03009000859195624</c:v>
                </c:pt>
                <c:pt idx="213">
                  <c:v>-0.019666084861004986</c:v>
                </c:pt>
                <c:pt idx="214">
                  <c:v>0.01143603903280235</c:v>
                </c:pt>
                <c:pt idx="215">
                  <c:v>-0.054913394924589</c:v>
                </c:pt>
                <c:pt idx="216">
                  <c:v>0.03242683943870709</c:v>
                </c:pt>
                <c:pt idx="217">
                  <c:v>0.00386890555384492</c:v>
                </c:pt>
                <c:pt idx="218">
                  <c:v>0.018804176026707514</c:v>
                </c:pt>
                <c:pt idx="219">
                  <c:v>-0.004347640890739989</c:v>
                </c:pt>
                <c:pt idx="220">
                  <c:v>-0.023822429356240613</c:v>
                </c:pt>
                <c:pt idx="221">
                  <c:v>0.031325667500832696</c:v>
                </c:pt>
                <c:pt idx="222">
                  <c:v>-0.02135801899274212</c:v>
                </c:pt>
                <c:pt idx="223">
                  <c:v>0.01123542013767553</c:v>
                </c:pt>
                <c:pt idx="224">
                  <c:v>-0.016735904504825375</c:v>
                </c:pt>
                <c:pt idx="225">
                  <c:v>-0.02030248011729743</c:v>
                </c:pt>
                <c:pt idx="226">
                  <c:v>0.03615931568963572</c:v>
                </c:pt>
                <c:pt idx="227">
                  <c:v>-0.03134479005442492</c:v>
                </c:pt>
                <c:pt idx="228">
                  <c:v>0.03634411032303561</c:v>
                </c:pt>
                <c:pt idx="229">
                  <c:v>0.0003661980779208307</c:v>
                </c:pt>
                <c:pt idx="230">
                  <c:v>-0.005561926035734652</c:v>
                </c:pt>
                <c:pt idx="231">
                  <c:v>-0.0022927941707165784</c:v>
                </c:pt>
                <c:pt idx="232">
                  <c:v>-0.0035907621116857877</c:v>
                </c:pt>
                <c:pt idx="233">
                  <c:v>-0.027622353935650417</c:v>
                </c:pt>
                <c:pt idx="234">
                  <c:v>0.05016962252814242</c:v>
                </c:pt>
                <c:pt idx="235">
                  <c:v>-0.06282370959488698</c:v>
                </c:pt>
                <c:pt idx="236">
                  <c:v>0.04200117659345553</c:v>
                </c:pt>
                <c:pt idx="237">
                  <c:v>0.02599816028794409</c:v>
                </c:pt>
                <c:pt idx="238">
                  <c:v>-0.04684515416320797</c:v>
                </c:pt>
                <c:pt idx="239">
                  <c:v>0.04188049539369722</c:v>
                </c:pt>
                <c:pt idx="240">
                  <c:v>-0.0555432118118488</c:v>
                </c:pt>
                <c:pt idx="241">
                  <c:v>0.05363891607437367</c:v>
                </c:pt>
                <c:pt idx="242">
                  <c:v>-0.033727476138342136</c:v>
                </c:pt>
                <c:pt idx="243">
                  <c:v>0.01967748093746069</c:v>
                </c:pt>
                <c:pt idx="244">
                  <c:v>-0.026858175198749175</c:v>
                </c:pt>
                <c:pt idx="245">
                  <c:v>0.01877302776072226</c:v>
                </c:pt>
                <c:pt idx="246">
                  <c:v>-0.005913613180872937</c:v>
                </c:pt>
                <c:pt idx="247">
                  <c:v>0.020217676353292968</c:v>
                </c:pt>
                <c:pt idx="248">
                  <c:v>-0.02478096329635313</c:v>
                </c:pt>
                <c:pt idx="249">
                  <c:v>0.007802638883685274</c:v>
                </c:pt>
                <c:pt idx="250">
                  <c:v>0.02055394380657538</c:v>
                </c:pt>
                <c:pt idx="251">
                  <c:v>-0.016064351804127477</c:v>
                </c:pt>
                <c:pt idx="252">
                  <c:v>-0.0006538162363773122</c:v>
                </c:pt>
                <c:pt idx="253">
                  <c:v>-0.03302581943788104</c:v>
                </c:pt>
                <c:pt idx="254">
                  <c:v>0.036280678565240775</c:v>
                </c:pt>
                <c:pt idx="255">
                  <c:v>-0.010010751030933704</c:v>
                </c:pt>
                <c:pt idx="256">
                  <c:v>0.005850327521562919</c:v>
                </c:pt>
                <c:pt idx="257">
                  <c:v>0.00723503267467378</c:v>
                </c:pt>
                <c:pt idx="258">
                  <c:v>-0.0032714968880551277</c:v>
                </c:pt>
                <c:pt idx="259">
                  <c:v>-0.03034480483699495</c:v>
                </c:pt>
                <c:pt idx="260">
                  <c:v>0.04889362155576087</c:v>
                </c:pt>
                <c:pt idx="261">
                  <c:v>-0.028775016569601117</c:v>
                </c:pt>
                <c:pt idx="262">
                  <c:v>-0.014413357894965263</c:v>
                </c:pt>
                <c:pt idx="263">
                  <c:v>-0.0027023592501398447</c:v>
                </c:pt>
                <c:pt idx="264">
                  <c:v>0.005693638835627598</c:v>
                </c:pt>
                <c:pt idx="265">
                  <c:v>0.04223160977722173</c:v>
                </c:pt>
                <c:pt idx="266">
                  <c:v>-0.007581847336259672</c:v>
                </c:pt>
                <c:pt idx="267">
                  <c:v>-0.014830431367513053</c:v>
                </c:pt>
                <c:pt idx="268">
                  <c:v>-0.006333908010800714</c:v>
                </c:pt>
                <c:pt idx="269">
                  <c:v>0.005984403124929499</c:v>
                </c:pt>
                <c:pt idx="270">
                  <c:v>-0.01613650214026795</c:v>
                </c:pt>
                <c:pt idx="271">
                  <c:v>0.021294473292849208</c:v>
                </c:pt>
                <c:pt idx="272">
                  <c:v>-0.02214054746650673</c:v>
                </c:pt>
                <c:pt idx="273">
                  <c:v>-0.024044863091478633</c:v>
                </c:pt>
                <c:pt idx="274">
                  <c:v>0.0366869997320867</c:v>
                </c:pt>
                <c:pt idx="275">
                  <c:v>0.0064839869949766295</c:v>
                </c:pt>
                <c:pt idx="276">
                  <c:v>0.042164549973099624</c:v>
                </c:pt>
                <c:pt idx="277">
                  <c:v>-0.06037312104170407</c:v>
                </c:pt>
                <c:pt idx="278">
                  <c:v>0.021712184471341454</c:v>
                </c:pt>
                <c:pt idx="279">
                  <c:v>0.0037849181442405812</c:v>
                </c:pt>
                <c:pt idx="280">
                  <c:v>-0.04572767784084107</c:v>
                </c:pt>
                <c:pt idx="281">
                  <c:v>0.05572531071458637</c:v>
                </c:pt>
                <c:pt idx="282">
                  <c:v>-0.03653891608982134</c:v>
                </c:pt>
                <c:pt idx="283">
                  <c:v>0.013149334448749954</c:v>
                </c:pt>
                <c:pt idx="284">
                  <c:v>0.002882659113055104</c:v>
                </c:pt>
                <c:pt idx="285">
                  <c:v>0.024896151662589315</c:v>
                </c:pt>
                <c:pt idx="286">
                  <c:v>-0.024803668936161753</c:v>
                </c:pt>
                <c:pt idx="287">
                  <c:v>0.029861317878405944</c:v>
                </c:pt>
                <c:pt idx="288">
                  <c:v>-0.05102302069118941</c:v>
                </c:pt>
                <c:pt idx="289">
                  <c:v>0.028599123186275766</c:v>
                </c:pt>
                <c:pt idx="290">
                  <c:v>-0.03551219028553252</c:v>
                </c:pt>
                <c:pt idx="291">
                  <c:v>0.025381170225730772</c:v>
                </c:pt>
                <c:pt idx="292">
                  <c:v>0.029425766810786208</c:v>
                </c:pt>
                <c:pt idx="293">
                  <c:v>-0.056023114499397</c:v>
                </c:pt>
                <c:pt idx="294">
                  <c:v>0.043073537186767125</c:v>
                </c:pt>
                <c:pt idx="295">
                  <c:v>-0.024679557057569572</c:v>
                </c:pt>
                <c:pt idx="296">
                  <c:v>0.031436639808452065</c:v>
                </c:pt>
                <c:pt idx="297">
                  <c:v>-0.02843026266915164</c:v>
                </c:pt>
                <c:pt idx="298">
                  <c:v>0.027627532950872592</c:v>
                </c:pt>
                <c:pt idx="299">
                  <c:v>-0.034915279901943264</c:v>
                </c:pt>
                <c:pt idx="300">
                  <c:v>-0.004937180602944451</c:v>
                </c:pt>
                <c:pt idx="301">
                  <c:v>0.0207093558929584</c:v>
                </c:pt>
                <c:pt idx="302">
                  <c:v>-0.05476712516770236</c:v>
                </c:pt>
                <c:pt idx="303">
                  <c:v>0.10804120059149727</c:v>
                </c:pt>
                <c:pt idx="304">
                  <c:v>-0.056011968064934824</c:v>
                </c:pt>
                <c:pt idx="305">
                  <c:v>-0.025002512194457146</c:v>
                </c:pt>
                <c:pt idx="306">
                  <c:v>0.011396180151880882</c:v>
                </c:pt>
                <c:pt idx="307">
                  <c:v>0.03621568806212203</c:v>
                </c:pt>
                <c:pt idx="308">
                  <c:v>-0.021270065985596536</c:v>
                </c:pt>
                <c:pt idx="309">
                  <c:v>-0.03920393109530486</c:v>
                </c:pt>
                <c:pt idx="310">
                  <c:v>0.022090056708572857</c:v>
                </c:pt>
                <c:pt idx="311">
                  <c:v>-0.029513799631891227</c:v>
                </c:pt>
                <c:pt idx="312">
                  <c:v>0.0692553722565361</c:v>
                </c:pt>
                <c:pt idx="313">
                  <c:v>-0.012928667759517107</c:v>
                </c:pt>
                <c:pt idx="314">
                  <c:v>-0.0007940183325188117</c:v>
                </c:pt>
                <c:pt idx="315">
                  <c:v>-0.03228161774822491</c:v>
                </c:pt>
                <c:pt idx="316">
                  <c:v>0.04005737017145519</c:v>
                </c:pt>
                <c:pt idx="317">
                  <c:v>-0.03714975318119041</c:v>
                </c:pt>
                <c:pt idx="318">
                  <c:v>0.020664433304528784</c:v>
                </c:pt>
                <c:pt idx="319">
                  <c:v>-0.006336341854793014</c:v>
                </c:pt>
                <c:pt idx="320">
                  <c:v>0.027375448392915176</c:v>
                </c:pt>
                <c:pt idx="321">
                  <c:v>-0.04292826861677899</c:v>
                </c:pt>
                <c:pt idx="322">
                  <c:v>-0.0038905485230460754</c:v>
                </c:pt>
                <c:pt idx="323">
                  <c:v>0.05317010344662431</c:v>
                </c:pt>
                <c:pt idx="324">
                  <c:v>-0.0530101974640629</c:v>
                </c:pt>
                <c:pt idx="325">
                  <c:v>0.040624042740553666</c:v>
                </c:pt>
                <c:pt idx="326">
                  <c:v>-0.010119938173907926</c:v>
                </c:pt>
                <c:pt idx="327">
                  <c:v>-0.05538486557517648</c:v>
                </c:pt>
                <c:pt idx="328">
                  <c:v>0.04266818325084977</c:v>
                </c:pt>
                <c:pt idx="329">
                  <c:v>0.03438951114705233</c:v>
                </c:pt>
                <c:pt idx="330">
                  <c:v>-0.018406353765319055</c:v>
                </c:pt>
                <c:pt idx="331">
                  <c:v>-0.012629032027283355</c:v>
                </c:pt>
                <c:pt idx="332">
                  <c:v>-0.00753261258917625</c:v>
                </c:pt>
                <c:pt idx="333">
                  <c:v>0.012912405389898147</c:v>
                </c:pt>
                <c:pt idx="334">
                  <c:v>0.008456061870845504</c:v>
                </c:pt>
                <c:pt idx="335">
                  <c:v>-0.01416250156136111</c:v>
                </c:pt>
                <c:pt idx="336">
                  <c:v>0.0074252134866167685</c:v>
                </c:pt>
                <c:pt idx="337">
                  <c:v>-0.01805489869869726</c:v>
                </c:pt>
                <c:pt idx="338">
                  <c:v>-0.022470856011479808</c:v>
                </c:pt>
                <c:pt idx="339">
                  <c:v>0.035711816230286714</c:v>
                </c:pt>
                <c:pt idx="340">
                  <c:v>0.00976826670241557</c:v>
                </c:pt>
                <c:pt idx="341">
                  <c:v>0.00450876576388068</c:v>
                </c:pt>
                <c:pt idx="342">
                  <c:v>-0.04183011140059653</c:v>
                </c:pt>
                <c:pt idx="343">
                  <c:v>0.036262758494078964</c:v>
                </c:pt>
                <c:pt idx="344">
                  <c:v>-0.012247954899562223</c:v>
                </c:pt>
                <c:pt idx="345">
                  <c:v>-0.00046862737596555236</c:v>
                </c:pt>
                <c:pt idx="346">
                  <c:v>-0.0026049433548762583</c:v>
                </c:pt>
                <c:pt idx="347">
                  <c:v>-0.0007973310719818998</c:v>
                </c:pt>
                <c:pt idx="348">
                  <c:v>0.01056815021759974</c:v>
                </c:pt>
                <c:pt idx="349">
                  <c:v>-0.011498942588720728</c:v>
                </c:pt>
                <c:pt idx="350">
                  <c:v>0.04154921543001193</c:v>
                </c:pt>
                <c:pt idx="351">
                  <c:v>-0.023127880574011366</c:v>
                </c:pt>
                <c:pt idx="352">
                  <c:v>0.0036765078112035096</c:v>
                </c:pt>
                <c:pt idx="353">
                  <c:v>-0.02685885627149023</c:v>
                </c:pt>
                <c:pt idx="354">
                  <c:v>0.026150516579636754</c:v>
                </c:pt>
                <c:pt idx="355">
                  <c:v>-0.017820222093701155</c:v>
                </c:pt>
                <c:pt idx="356">
                  <c:v>-0.012029755946722802</c:v>
                </c:pt>
                <c:pt idx="357">
                  <c:v>0.004813645013388687</c:v>
                </c:pt>
                <c:pt idx="358">
                  <c:v>0.028970822037790566</c:v>
                </c:pt>
                <c:pt idx="359">
                  <c:v>-0.011724465123056273</c:v>
                </c:pt>
                <c:pt idx="360">
                  <c:v>0.01691808412479912</c:v>
                </c:pt>
                <c:pt idx="361">
                  <c:v>-0.013931114430244541</c:v>
                </c:pt>
                <c:pt idx="362">
                  <c:v>-0.0209567665171866</c:v>
                </c:pt>
                <c:pt idx="363">
                  <c:v>0.026324851773061576</c:v>
                </c:pt>
                <c:pt idx="364">
                  <c:v>-0.03405589788105098</c:v>
                </c:pt>
                <c:pt idx="365">
                  <c:v>0.0119042577194956</c:v>
                </c:pt>
                <c:pt idx="366">
                  <c:v>0.0023520920700221045</c:v>
                </c:pt>
                <c:pt idx="367">
                  <c:v>-0.016402040404698608</c:v>
                </c:pt>
                <c:pt idx="368">
                  <c:v>0.05842486607002187</c:v>
                </c:pt>
                <c:pt idx="369">
                  <c:v>-0.003136079174826851</c:v>
                </c:pt>
                <c:pt idx="370">
                  <c:v>-0.06067131795724226</c:v>
                </c:pt>
                <c:pt idx="371">
                  <c:v>0.0302732735919064</c:v>
                </c:pt>
                <c:pt idx="372">
                  <c:v>0.00702461049049706</c:v>
                </c:pt>
                <c:pt idx="373">
                  <c:v>-0.020668953213802143</c:v>
                </c:pt>
                <c:pt idx="374">
                  <c:v>-0.02298179136626931</c:v>
                </c:pt>
                <c:pt idx="375">
                  <c:v>0.007292094382199858</c:v>
                </c:pt>
                <c:pt idx="376">
                  <c:v>0.015414600333639143</c:v>
                </c:pt>
                <c:pt idx="377">
                  <c:v>0.024724462909525884</c:v>
                </c:pt>
                <c:pt idx="378">
                  <c:v>-0.01489227344935686</c:v>
                </c:pt>
                <c:pt idx="379">
                  <c:v>0.0015648299916607047</c:v>
                </c:pt>
                <c:pt idx="380">
                  <c:v>-0.0018876065922581447</c:v>
                </c:pt>
                <c:pt idx="381">
                  <c:v>0.001923157287928879</c:v>
                </c:pt>
                <c:pt idx="382">
                  <c:v>0.00048265061909749733</c:v>
                </c:pt>
                <c:pt idx="383">
                  <c:v>0.005021426093546218</c:v>
                </c:pt>
                <c:pt idx="384">
                  <c:v>-0.016741501013812964</c:v>
                </c:pt>
                <c:pt idx="385">
                  <c:v>-0.009177909065643598</c:v>
                </c:pt>
                <c:pt idx="386">
                  <c:v>-0.013863103441698239</c:v>
                </c:pt>
                <c:pt idx="387">
                  <c:v>0.05746712624754984</c:v>
                </c:pt>
                <c:pt idx="388">
                  <c:v>0.009388058473336265</c:v>
                </c:pt>
                <c:pt idx="389">
                  <c:v>-0.043236529130883945</c:v>
                </c:pt>
                <c:pt idx="390">
                  <c:v>-0.00029905321485606916</c:v>
                </c:pt>
                <c:pt idx="391">
                  <c:v>0.013108184567965432</c:v>
                </c:pt>
                <c:pt idx="392">
                  <c:v>0.036209833942655145</c:v>
                </c:pt>
                <c:pt idx="393">
                  <c:v>-0.06905021325882191</c:v>
                </c:pt>
                <c:pt idx="394">
                  <c:v>0.029412695601241406</c:v>
                </c:pt>
                <c:pt idx="395">
                  <c:v>-0.02509930375153189</c:v>
                </c:pt>
                <c:pt idx="396">
                  <c:v>0.012099202035851127</c:v>
                </c:pt>
                <c:pt idx="397">
                  <c:v>0.06140793759565951</c:v>
                </c:pt>
                <c:pt idx="398">
                  <c:v>-0.023460670059797843</c:v>
                </c:pt>
                <c:pt idx="399">
                  <c:v>-0.049018873185013453</c:v>
                </c:pt>
                <c:pt idx="400">
                  <c:v>0.05196951502700629</c:v>
                </c:pt>
                <c:pt idx="401">
                  <c:v>-0.020339166847253266</c:v>
                </c:pt>
                <c:pt idx="402">
                  <c:v>0.012324705612069572</c:v>
                </c:pt>
                <c:pt idx="403">
                  <c:v>0.0008769038917839047</c:v>
                </c:pt>
                <c:pt idx="404">
                  <c:v>-0.06644470345417648</c:v>
                </c:pt>
                <c:pt idx="405">
                  <c:v>0.04787687364560614</c:v>
                </c:pt>
                <c:pt idx="406">
                  <c:v>-0.01788410050421595</c:v>
                </c:pt>
                <c:pt idx="407">
                  <c:v>0.023233224496602655</c:v>
                </c:pt>
                <c:pt idx="408">
                  <c:v>0.015682449956807298</c:v>
                </c:pt>
                <c:pt idx="409">
                  <c:v>0.004900620951913834</c:v>
                </c:pt>
                <c:pt idx="410">
                  <c:v>-0.016064860145772814</c:v>
                </c:pt>
                <c:pt idx="411">
                  <c:v>-0.01781254883247299</c:v>
                </c:pt>
                <c:pt idx="412">
                  <c:v>-0.006901331919573726</c:v>
                </c:pt>
                <c:pt idx="413">
                  <c:v>0.040679324355751896</c:v>
                </c:pt>
                <c:pt idx="414">
                  <c:v>-0.06762025123294738</c:v>
                </c:pt>
                <c:pt idx="415">
                  <c:v>0.007766917647976722</c:v>
                </c:pt>
                <c:pt idx="416">
                  <c:v>0.04823650022851648</c:v>
                </c:pt>
                <c:pt idx="417">
                  <c:v>0.0009795819942239302</c:v>
                </c:pt>
                <c:pt idx="418">
                  <c:v>0.025921494862363444</c:v>
                </c:pt>
                <c:pt idx="419">
                  <c:v>-0.020009093659910444</c:v>
                </c:pt>
                <c:pt idx="420">
                  <c:v>-0.002505004248998125</c:v>
                </c:pt>
                <c:pt idx="421">
                  <c:v>-0.05074104449074208</c:v>
                </c:pt>
                <c:pt idx="422">
                  <c:v>-0.008978656575340303</c:v>
                </c:pt>
                <c:pt idx="423">
                  <c:v>0.06354369826128263</c:v>
                </c:pt>
                <c:pt idx="424">
                  <c:v>-0.027134284102610203</c:v>
                </c:pt>
                <c:pt idx="425">
                  <c:v>-0.015182177913499927</c:v>
                </c:pt>
                <c:pt idx="426">
                  <c:v>0.030109110598297153</c:v>
                </c:pt>
                <c:pt idx="427">
                  <c:v>-0.017057195095643</c:v>
                </c:pt>
                <c:pt idx="428">
                  <c:v>0.02723600284823706</c:v>
                </c:pt>
                <c:pt idx="429">
                  <c:v>-0.01686732190794902</c:v>
                </c:pt>
                <c:pt idx="430">
                  <c:v>-0.010003530815214145</c:v>
                </c:pt>
                <c:pt idx="431">
                  <c:v>-0.02225937114635261</c:v>
                </c:pt>
                <c:pt idx="432">
                  <c:v>0.04004892127976706</c:v>
                </c:pt>
                <c:pt idx="433">
                  <c:v>-0.010742409327747374</c:v>
                </c:pt>
                <c:pt idx="434">
                  <c:v>-0.0045760781788201504</c:v>
                </c:pt>
                <c:pt idx="435">
                  <c:v>0.025008140591239153</c:v>
                </c:pt>
                <c:pt idx="436">
                  <c:v>-0.02985308983833957</c:v>
                </c:pt>
                <c:pt idx="437">
                  <c:v>-0.008459423360002978</c:v>
                </c:pt>
                <c:pt idx="438">
                  <c:v>0.03405011991617837</c:v>
                </c:pt>
                <c:pt idx="439">
                  <c:v>-0.0012195841797099194</c:v>
                </c:pt>
                <c:pt idx="440">
                  <c:v>-0.020875209951219238</c:v>
                </c:pt>
                <c:pt idx="441">
                  <c:v>0.02503255267180093</c:v>
                </c:pt>
                <c:pt idx="442">
                  <c:v>-0.01977956600589055</c:v>
                </c:pt>
                <c:pt idx="443">
                  <c:v>-0.00297324715986863</c:v>
                </c:pt>
                <c:pt idx="444">
                  <c:v>0.000978481820528828</c:v>
                </c:pt>
                <c:pt idx="445">
                  <c:v>-0.008824282324457542</c:v>
                </c:pt>
                <c:pt idx="446">
                  <c:v>0.002494108410486516</c:v>
                </c:pt>
                <c:pt idx="447">
                  <c:v>0.012892802560130028</c:v>
                </c:pt>
                <c:pt idx="448">
                  <c:v>-0.0054484704966021764</c:v>
                </c:pt>
                <c:pt idx="449">
                  <c:v>0.029500667895505574</c:v>
                </c:pt>
                <c:pt idx="450">
                  <c:v>0.0022027667497642165</c:v>
                </c:pt>
                <c:pt idx="451">
                  <c:v>-0.022065998922631343</c:v>
                </c:pt>
                <c:pt idx="452">
                  <c:v>-0.0039008679522835156</c:v>
                </c:pt>
                <c:pt idx="453">
                  <c:v>-0.03176925874567423</c:v>
                </c:pt>
                <c:pt idx="454">
                  <c:v>0.010442865811363219</c:v>
                </c:pt>
                <c:pt idx="455">
                  <c:v>0.0035257095572120453</c:v>
                </c:pt>
                <c:pt idx="456">
                  <c:v>0.01779207948172908</c:v>
                </c:pt>
                <c:pt idx="457">
                  <c:v>0.0270498775706417</c:v>
                </c:pt>
                <c:pt idx="458">
                  <c:v>-0.030192827723719128</c:v>
                </c:pt>
                <c:pt idx="459">
                  <c:v>-0.00482131310863565</c:v>
                </c:pt>
                <c:pt idx="460">
                  <c:v>0.026607089457074296</c:v>
                </c:pt>
                <c:pt idx="461">
                  <c:v>-0.01605700773098377</c:v>
                </c:pt>
                <c:pt idx="462">
                  <c:v>-0.05741111841472101</c:v>
                </c:pt>
                <c:pt idx="463">
                  <c:v>0.030419766821907456</c:v>
                </c:pt>
                <c:pt idx="464">
                  <c:v>0.012842883367339826</c:v>
                </c:pt>
                <c:pt idx="465">
                  <c:v>0.003991202902039782</c:v>
                </c:pt>
                <c:pt idx="466">
                  <c:v>0.019508182112635407</c:v>
                </c:pt>
                <c:pt idx="467">
                  <c:v>-0.010224445380307215</c:v>
                </c:pt>
                <c:pt idx="468">
                  <c:v>0.005734371877368479</c:v>
                </c:pt>
                <c:pt idx="469">
                  <c:v>-0.025309971374431407</c:v>
                </c:pt>
                <c:pt idx="470">
                  <c:v>0.003201155072426617</c:v>
                </c:pt>
                <c:pt idx="471">
                  <c:v>0.006700129957369532</c:v>
                </c:pt>
                <c:pt idx="472">
                  <c:v>-0.01856766701039071</c:v>
                </c:pt>
                <c:pt idx="473">
                  <c:v>0.010352070459376703</c:v>
                </c:pt>
                <c:pt idx="474">
                  <c:v>0.020970848799345</c:v>
                </c:pt>
                <c:pt idx="475">
                  <c:v>-0.008852618806369741</c:v>
                </c:pt>
                <c:pt idx="476">
                  <c:v>0.0095141849433731</c:v>
                </c:pt>
                <c:pt idx="477">
                  <c:v>-0.02373340572468398</c:v>
                </c:pt>
                <c:pt idx="478">
                  <c:v>0.021311892966038415</c:v>
                </c:pt>
                <c:pt idx="479">
                  <c:v>-0.0004704217621369968</c:v>
                </c:pt>
                <c:pt idx="480">
                  <c:v>-0.01289791417539334</c:v>
                </c:pt>
                <c:pt idx="481">
                  <c:v>0.004462773115343837</c:v>
                </c:pt>
                <c:pt idx="482">
                  <c:v>-0.010115291771223773</c:v>
                </c:pt>
                <c:pt idx="483">
                  <c:v>0.023540683181567358</c:v>
                </c:pt>
                <c:pt idx="484">
                  <c:v>-0.010966146868529187</c:v>
                </c:pt>
                <c:pt idx="485">
                  <c:v>-0.010861726112326936</c:v>
                </c:pt>
                <c:pt idx="486">
                  <c:v>0.0158041121581972</c:v>
                </c:pt>
                <c:pt idx="487">
                  <c:v>-0.024376728477000374</c:v>
                </c:pt>
                <c:pt idx="488">
                  <c:v>0.015075443141882526</c:v>
                </c:pt>
                <c:pt idx="489">
                  <c:v>0.01135953201991812</c:v>
                </c:pt>
                <c:pt idx="490">
                  <c:v>-0.0043269934389478</c:v>
                </c:pt>
                <c:pt idx="491">
                  <c:v>0.002715625278419849</c:v>
                </c:pt>
                <c:pt idx="492">
                  <c:v>-0.009563945143590906</c:v>
                </c:pt>
                <c:pt idx="493">
                  <c:v>-0.016836383342982486</c:v>
                </c:pt>
                <c:pt idx="494">
                  <c:v>0.008788041120534062</c:v>
                </c:pt>
                <c:pt idx="495">
                  <c:v>0.006534386586929955</c:v>
                </c:pt>
                <c:pt idx="496">
                  <c:v>0.004152366412495321</c:v>
                </c:pt>
                <c:pt idx="497">
                  <c:v>0.0012293172404984154</c:v>
                </c:pt>
                <c:pt idx="498">
                  <c:v>-0.0002663369097479167</c:v>
                </c:pt>
                <c:pt idx="499">
                  <c:v>-0.001321902326081389</c:v>
                </c:pt>
                <c:pt idx="500">
                  <c:v>0.012584623722791977</c:v>
                </c:pt>
                <c:pt idx="501">
                  <c:v>-0.011656426853127374</c:v>
                </c:pt>
                <c:pt idx="502">
                  <c:v>-0.02774515758476574</c:v>
                </c:pt>
                <c:pt idx="503">
                  <c:v>0.003555473247812457</c:v>
                </c:pt>
                <c:pt idx="504">
                  <c:v>0.02390847174376701</c:v>
                </c:pt>
                <c:pt idx="505">
                  <c:v>0.01093893027131625</c:v>
                </c:pt>
                <c:pt idx="506">
                  <c:v>-0.011985161503526931</c:v>
                </c:pt>
                <c:pt idx="507">
                  <c:v>0.030423436960558364</c:v>
                </c:pt>
                <c:pt idx="508">
                  <c:v>-0.049002205340795066</c:v>
                </c:pt>
                <c:pt idx="509">
                  <c:v>0.024509117389207278</c:v>
                </c:pt>
                <c:pt idx="510">
                  <c:v>-0.008048560053348534</c:v>
                </c:pt>
                <c:pt idx="511">
                  <c:v>-0.015131307374043059</c:v>
                </c:pt>
                <c:pt idx="512">
                  <c:v>0.02077947981264527</c:v>
                </c:pt>
                <c:pt idx="513">
                  <c:v>0.008585035019820771</c:v>
                </c:pt>
                <c:pt idx="514">
                  <c:v>-0.01497145260511929</c:v>
                </c:pt>
                <c:pt idx="515">
                  <c:v>0.007122711775732512</c:v>
                </c:pt>
                <c:pt idx="516">
                  <c:v>0.01783811217000091</c:v>
                </c:pt>
                <c:pt idx="517">
                  <c:v>-0.023303396438026612</c:v>
                </c:pt>
                <c:pt idx="518">
                  <c:v>-0.009621885593971626</c:v>
                </c:pt>
                <c:pt idx="519">
                  <c:v>-0.006980255724485702</c:v>
                </c:pt>
                <c:pt idx="520">
                  <c:v>0.032631257113408176</c:v>
                </c:pt>
                <c:pt idx="521">
                  <c:v>-0.028152857201733703</c:v>
                </c:pt>
                <c:pt idx="522">
                  <c:v>0.028378251948988267</c:v>
                </c:pt>
                <c:pt idx="523">
                  <c:v>-0.007112621050041218</c:v>
                </c:pt>
                <c:pt idx="524">
                  <c:v>-0.01372360496227975</c:v>
                </c:pt>
                <c:pt idx="525">
                  <c:v>-0.0034686084610766753</c:v>
                </c:pt>
                <c:pt idx="526">
                  <c:v>0.0158463094586702</c:v>
                </c:pt>
                <c:pt idx="527">
                  <c:v>-0.0046893245939185245</c:v>
                </c:pt>
                <c:pt idx="528">
                  <c:v>-0.02414240158807052</c:v>
                </c:pt>
                <c:pt idx="529">
                  <c:v>0.018823510654007017</c:v>
                </c:pt>
                <c:pt idx="530">
                  <c:v>0.009146760822828606</c:v>
                </c:pt>
                <c:pt idx="531">
                  <c:v>-0.006613122634814578</c:v>
                </c:pt>
                <c:pt idx="532">
                  <c:v>-0.011589688650507043</c:v>
                </c:pt>
                <c:pt idx="533">
                  <c:v>0.03738574393089283</c:v>
                </c:pt>
                <c:pt idx="534">
                  <c:v>-0.042449817760551636</c:v>
                </c:pt>
                <c:pt idx="535">
                  <c:v>0.005667709540713982</c:v>
                </c:pt>
                <c:pt idx="536">
                  <c:v>0.013189268840325253</c:v>
                </c:pt>
                <c:pt idx="537">
                  <c:v>-0.012046279372623297</c:v>
                </c:pt>
                <c:pt idx="538">
                  <c:v>0.005524543379361522</c:v>
                </c:pt>
                <c:pt idx="539">
                  <c:v>-0.0016142828881432253</c:v>
                </c:pt>
                <c:pt idx="540">
                  <c:v>0.00200018021818873</c:v>
                </c:pt>
                <c:pt idx="541">
                  <c:v>-0.003412775409086413</c:v>
                </c:pt>
                <c:pt idx="542">
                  <c:v>0.007108067402689155</c:v>
                </c:pt>
                <c:pt idx="543">
                  <c:v>0.020269952380747892</c:v>
                </c:pt>
                <c:pt idx="544">
                  <c:v>-0.02749859580074617</c:v>
                </c:pt>
                <c:pt idx="545">
                  <c:v>-0.0075958390860849725</c:v>
                </c:pt>
                <c:pt idx="546">
                  <c:v>0.01865213123239966</c:v>
                </c:pt>
                <c:pt idx="547">
                  <c:v>-0.005221591414776193</c:v>
                </c:pt>
                <c:pt idx="548">
                  <c:v>-0.01908686915038943</c:v>
                </c:pt>
                <c:pt idx="549">
                  <c:v>0.02971181716189996</c:v>
                </c:pt>
                <c:pt idx="550">
                  <c:v>0.004117154405638408</c:v>
                </c:pt>
                <c:pt idx="551">
                  <c:v>-0.03272245047692889</c:v>
                </c:pt>
                <c:pt idx="552">
                  <c:v>0.03207305322110826</c:v>
                </c:pt>
                <c:pt idx="553">
                  <c:v>0.00941884782830225</c:v>
                </c:pt>
                <c:pt idx="554">
                  <c:v>-0.02710671220802191</c:v>
                </c:pt>
                <c:pt idx="555">
                  <c:v>0.0013753652567609026</c:v>
                </c:pt>
                <c:pt idx="556">
                  <c:v>0.002130457265343025</c:v>
                </c:pt>
                <c:pt idx="557">
                  <c:v>-0.013701706845262424</c:v>
                </c:pt>
                <c:pt idx="558">
                  <c:v>0.01829297732224099</c:v>
                </c:pt>
                <c:pt idx="559">
                  <c:v>-0.0031208772070076655</c:v>
                </c:pt>
                <c:pt idx="560">
                  <c:v>0.01611136065016421</c:v>
                </c:pt>
                <c:pt idx="561">
                  <c:v>-0.0219727530467222</c:v>
                </c:pt>
                <c:pt idx="562">
                  <c:v>0.002314430728917676</c:v>
                </c:pt>
                <c:pt idx="563">
                  <c:v>0.02491485850366937</c:v>
                </c:pt>
                <c:pt idx="564">
                  <c:v>-0.02211489941430557</c:v>
                </c:pt>
                <c:pt idx="565">
                  <c:v>-0.012275942892934261</c:v>
                </c:pt>
                <c:pt idx="566">
                  <c:v>0.006531679246055153</c:v>
                </c:pt>
                <c:pt idx="567">
                  <c:v>-0.0014655707552315384</c:v>
                </c:pt>
                <c:pt idx="568">
                  <c:v>0.011686644957115666</c:v>
                </c:pt>
                <c:pt idx="569">
                  <c:v>-0.009061365988101071</c:v>
                </c:pt>
                <c:pt idx="570">
                  <c:v>0.0019859248353247356</c:v>
                </c:pt>
                <c:pt idx="571">
                  <c:v>-0.001365384264564859</c:v>
                </c:pt>
                <c:pt idx="572">
                  <c:v>0.01318973656050382</c:v>
                </c:pt>
                <c:pt idx="573">
                  <c:v>-0.011725544009933402</c:v>
                </c:pt>
                <c:pt idx="574">
                  <c:v>0.006854115364300463</c:v>
                </c:pt>
                <c:pt idx="575">
                  <c:v>-0.0033944814009170344</c:v>
                </c:pt>
                <c:pt idx="576">
                  <c:v>-0.02140985732198148</c:v>
                </c:pt>
                <c:pt idx="577">
                  <c:v>0.013105565641568184</c:v>
                </c:pt>
                <c:pt idx="578">
                  <c:v>0.004107153059069991</c:v>
                </c:pt>
                <c:pt idx="579">
                  <c:v>0.009698533040297774</c:v>
                </c:pt>
                <c:pt idx="580">
                  <c:v>-0.001928426175277244</c:v>
                </c:pt>
                <c:pt idx="581">
                  <c:v>-0.006844765158729084</c:v>
                </c:pt>
                <c:pt idx="582">
                  <c:v>0.01483641607833847</c:v>
                </c:pt>
                <c:pt idx="583">
                  <c:v>-0.009274568710010813</c:v>
                </c:pt>
                <c:pt idx="584">
                  <c:v>-0.010117499074638433</c:v>
                </c:pt>
                <c:pt idx="585">
                  <c:v>0.014193793609844943</c:v>
                </c:pt>
                <c:pt idx="586">
                  <c:v>-0.015352859383971969</c:v>
                </c:pt>
                <c:pt idx="587">
                  <c:v>-0.010822647852644772</c:v>
                </c:pt>
                <c:pt idx="588">
                  <c:v>0.024883356807014707</c:v>
                </c:pt>
                <c:pt idx="589">
                  <c:v>0.01959552143442945</c:v>
                </c:pt>
                <c:pt idx="590">
                  <c:v>-0.01836403795400349</c:v>
                </c:pt>
                <c:pt idx="591">
                  <c:v>-0.007464154774319714</c:v>
                </c:pt>
                <c:pt idx="592">
                  <c:v>0.011250063344123247</c:v>
                </c:pt>
                <c:pt idx="593">
                  <c:v>-0.017541115775664175</c:v>
                </c:pt>
                <c:pt idx="594">
                  <c:v>0.010786441296002881</c:v>
                </c:pt>
                <c:pt idx="595">
                  <c:v>0.004227407347443522</c:v>
                </c:pt>
                <c:pt idx="596">
                  <c:v>-0.018373076432174975</c:v>
                </c:pt>
                <c:pt idx="597">
                  <c:v>0.012071485304869092</c:v>
                </c:pt>
                <c:pt idx="598">
                  <c:v>-0.004818304828437841</c:v>
                </c:pt>
                <c:pt idx="599">
                  <c:v>0.009013533076181217</c:v>
                </c:pt>
                <c:pt idx="600">
                  <c:v>0.015712866402106448</c:v>
                </c:pt>
                <c:pt idx="601">
                  <c:v>-0.04144943031781297</c:v>
                </c:pt>
                <c:pt idx="602">
                  <c:v>0.02183127653806911</c:v>
                </c:pt>
                <c:pt idx="603">
                  <c:v>0.0013373104631254557</c:v>
                </c:pt>
                <c:pt idx="604">
                  <c:v>-0.01568572535222511</c:v>
                </c:pt>
                <c:pt idx="605">
                  <c:v>0.026251365234735993</c:v>
                </c:pt>
                <c:pt idx="606">
                  <c:v>-0.017404970112428544</c:v>
                </c:pt>
                <c:pt idx="607">
                  <c:v>-0.013405457713437843</c:v>
                </c:pt>
                <c:pt idx="608">
                  <c:v>0.024584258559833937</c:v>
                </c:pt>
                <c:pt idx="609">
                  <c:v>-0.011058036427043293</c:v>
                </c:pt>
                <c:pt idx="610">
                  <c:v>-0.0018194756899330782</c:v>
                </c:pt>
                <c:pt idx="611">
                  <c:v>0.0224947693164622</c:v>
                </c:pt>
                <c:pt idx="612">
                  <c:v>-0.02916948547408182</c:v>
                </c:pt>
                <c:pt idx="613">
                  <c:v>-0.0009211645278151117</c:v>
                </c:pt>
                <c:pt idx="614">
                  <c:v>0.013596783462938881</c:v>
                </c:pt>
                <c:pt idx="615">
                  <c:v>0.00894129964553769</c:v>
                </c:pt>
                <c:pt idx="616">
                  <c:v>-0.005755060305197107</c:v>
                </c:pt>
                <c:pt idx="617">
                  <c:v>-0.034607484190922536</c:v>
                </c:pt>
                <c:pt idx="618">
                  <c:v>0.03749333704408521</c:v>
                </c:pt>
                <c:pt idx="619">
                  <c:v>0.00012950342509444087</c:v>
                </c:pt>
                <c:pt idx="620">
                  <c:v>-0.014274151144866534</c:v>
                </c:pt>
                <c:pt idx="621">
                  <c:v>0.02486797456866242</c:v>
                </c:pt>
                <c:pt idx="622">
                  <c:v>-0.014992271933058774</c:v>
                </c:pt>
                <c:pt idx="623">
                  <c:v>-0.03169512351538949</c:v>
                </c:pt>
                <c:pt idx="624">
                  <c:v>0.04037251380637806</c:v>
                </c:pt>
                <c:pt idx="625">
                  <c:v>-0.0032653130316442867</c:v>
                </c:pt>
                <c:pt idx="626">
                  <c:v>-0.007991733731945446</c:v>
                </c:pt>
                <c:pt idx="627">
                  <c:v>-0.0034244679035488343</c:v>
                </c:pt>
                <c:pt idx="628">
                  <c:v>-0.009130408802606387</c:v>
                </c:pt>
                <c:pt idx="629">
                  <c:v>0.03083640074914538</c:v>
                </c:pt>
                <c:pt idx="630">
                  <c:v>-0.020583758577618592</c:v>
                </c:pt>
                <c:pt idx="631">
                  <c:v>0.003402493736615404</c:v>
                </c:pt>
                <c:pt idx="632">
                  <c:v>0.0011154387401138245</c:v>
                </c:pt>
                <c:pt idx="633">
                  <c:v>-0.011259570667859868</c:v>
                </c:pt>
                <c:pt idx="634">
                  <c:v>0.003017264256602373</c:v>
                </c:pt>
                <c:pt idx="635">
                  <c:v>0.019437158085899915</c:v>
                </c:pt>
              </c:numCache>
            </c:numRef>
          </c:val>
          <c:smooth val="0"/>
        </c:ser>
        <c:marker val="1"/>
        <c:axId val="5873728"/>
        <c:axId val="52863553"/>
      </c:lineChart>
      <c:catAx>
        <c:axId val="587372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Lag in Months</a:t>
                </a:r>
              </a:p>
            </c:rich>
          </c:tx>
          <c:layout>
            <c:manualLayout>
              <c:xMode val="factor"/>
              <c:yMode val="factor"/>
              <c:x val="-0.001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863553"/>
        <c:crosses val="autoZero"/>
        <c:auto val="1"/>
        <c:lblOffset val="100"/>
        <c:tickLblSkip val="20"/>
        <c:noMultiLvlLbl val="0"/>
      </c:catAx>
      <c:valAx>
        <c:axId val="52863553"/>
        <c:scaling>
          <c:orientation val="minMax"/>
          <c:min val="-0.2"/>
        </c:scaling>
        <c:axPos val="l"/>
        <c:title>
          <c:tx>
            <c:rich>
              <a:bodyPr vert="horz" rot="-5400000" anchor="ctr"/>
              <a:lstStyle/>
              <a:p>
                <a:pPr algn="ctr">
                  <a:defRPr/>
                </a:pPr>
                <a:r>
                  <a:rPr lang="en-US" cap="none" sz="1000" b="1" i="0" u="none" baseline="0">
                    <a:solidFill>
                      <a:srgbClr val="000000"/>
                    </a:solidFill>
                    <a:latin typeface="Arial"/>
                    <a:ea typeface="Arial"/>
                    <a:cs typeface="Arial"/>
                  </a:rPr>
                  <a:t>Sample Autocorrelation</a:t>
                </a:r>
              </a:p>
            </c:rich>
          </c:tx>
          <c:layout>
            <c:manualLayout>
              <c:xMode val="factor"/>
              <c:yMode val="factor"/>
              <c:x val="-0.00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73728"/>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36"/>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136"/>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13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6"/>
  <sheetViews>
    <sheetView workbookViewId="0" zoomScale="10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codeName="Chart7"/>
  <sheetViews>
    <sheetView workbookViewId="0" zoomScale="107"/>
  </sheetViews>
  <pageMargins left="0.75" right="0.75" top="1" bottom="1" header="0.5" footer="0.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0.28525</cdr:x>
      <cdr:y>0.41125</cdr:y>
    </cdr:from>
    <cdr:to>
      <cdr:x>0.60925</cdr:x>
      <cdr:y>0.529</cdr:y>
    </cdr:to>
    <cdr:sp>
      <cdr:nvSpPr>
        <cdr:cNvPr id="1" name="AutoShape 1"/>
        <cdr:cNvSpPr>
          <a:spLocks/>
        </cdr:cNvSpPr>
      </cdr:nvSpPr>
      <cdr:spPr>
        <a:xfrm>
          <a:off x="2466975" y="2438400"/>
          <a:ext cx="2809875" cy="695325"/>
        </a:xfrm>
        <a:prstGeom prst="wedgeRectCallout">
          <a:avLst>
            <a:gd name="adj1" fmla="val -47078"/>
            <a:gd name="adj2" fmla="val 86717"/>
          </a:avLst>
        </a:prstGeom>
        <a:solidFill>
          <a:srgbClr val="FFFFFF"/>
        </a:solidFill>
        <a:ln w="9525" cmpd="sng">
          <a:solidFill>
            <a:srgbClr val="000000"/>
          </a:solidFill>
          <a:headEnd type="none"/>
          <a:tailEnd type="none"/>
        </a:ln>
      </cdr:spPr>
      <c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Sample autocorrelations are positive for 194 lags, negative for 348 lags, and then positive for remaining lags = suggests a non-stationary time series with a change in its drift.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0.75225</cdr:y>
    </cdr:from>
    <cdr:to>
      <cdr:x>0.65425</cdr:x>
      <cdr:y>0.857</cdr:y>
    </cdr:to>
    <cdr:sp>
      <cdr:nvSpPr>
        <cdr:cNvPr id="1" name="Text Box 1"/>
        <cdr:cNvSpPr txBox="1">
          <a:spLocks noChangeArrowheads="1"/>
        </cdr:cNvSpPr>
      </cdr:nvSpPr>
      <cdr:spPr>
        <a:xfrm>
          <a:off x="2419350" y="4457700"/>
          <a:ext cx="3248025" cy="619125"/>
        </a:xfrm>
        <a:prstGeom prst="rect">
          <a:avLst/>
        </a:prstGeom>
        <a:noFill/>
        <a:ln w="9525" cmpd="sng">
          <a:noFill/>
        </a:ln>
      </cdr:spPr>
      <c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Two standard deviations is 8%. The</a:t>
          </a:r>
          <a:r>
            <a:rPr lang="en-US" cap="none" sz="800" b="0" i="0" u="none" baseline="0">
              <a:solidFill>
                <a:srgbClr val="000000"/>
              </a:solidFill>
              <a:latin typeface="Arial"/>
              <a:ea typeface="Arial"/>
              <a:cs typeface="Arial"/>
            </a:rPr>
            <a:t> s</a:t>
          </a:r>
          <a:r>
            <a:rPr lang="en-US" cap="none" sz="800" b="0" i="0" u="none" baseline="0">
              <a:solidFill>
                <a:srgbClr val="000000"/>
              </a:solidFill>
              <a:latin typeface="Arial"/>
              <a:ea typeface="Arial"/>
              <a:cs typeface="Arial"/>
            </a:rPr>
            <a:t>ample autocorrelation of lag 1 is −38.8%, suggesting that we took first differences of a stationary autoregressive process. Subsequent sample autocorrelations are close enough to zero to be a white noise process.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209550</xdr:colOff>
      <xdr:row>6</xdr:row>
      <xdr:rowOff>57150</xdr:rowOff>
    </xdr:from>
    <xdr:ext cx="2038350" cy="733425"/>
    <xdr:sp>
      <xdr:nvSpPr>
        <xdr:cNvPr id="1" name="Text Box 9"/>
        <xdr:cNvSpPr txBox="1">
          <a:spLocks noChangeArrowheads="1"/>
        </xdr:cNvSpPr>
      </xdr:nvSpPr>
      <xdr:spPr>
        <a:xfrm>
          <a:off x="11182350" y="1028700"/>
          <a:ext cx="2038350" cy="733425"/>
        </a:xfrm>
        <a:prstGeom prst="rect">
          <a:avLst/>
        </a:prstGeom>
        <a:solidFill>
          <a:srgbClr val="FFFFFF"/>
        </a:solidFill>
        <a:ln w="9525" cmpd="sng">
          <a:solidFill>
            <a:srgbClr val="4F81BD"/>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Sample autocorrelations of first differences of real interest rates can be interpreted several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ways: AR(1), MA(1), or differences of a stationary autoregressive process.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0.25575</cdr:y>
    </cdr:from>
    <cdr:to>
      <cdr:x>0.49675</cdr:x>
      <cdr:y>0.378</cdr:y>
    </cdr:to>
    <cdr:sp>
      <cdr:nvSpPr>
        <cdr:cNvPr id="1" name="AutoShape 1"/>
        <cdr:cNvSpPr>
          <a:spLocks/>
        </cdr:cNvSpPr>
      </cdr:nvSpPr>
      <cdr:spPr>
        <a:xfrm>
          <a:off x="1400175" y="1514475"/>
          <a:ext cx="2905125" cy="723900"/>
        </a:xfrm>
        <a:prstGeom prst="wedgeRectCallout">
          <a:avLst>
            <a:gd name="adj1" fmla="val -57828"/>
            <a:gd name="adj2" fmla="val 79324"/>
          </a:avLst>
        </a:prstGeom>
        <a:solidFill>
          <a:srgbClr val="FFFFFF"/>
        </a:solidFill>
        <a:ln w="9525" cmpd="sng">
          <a:solidFill>
            <a:srgbClr val="000000"/>
          </a:solidFill>
          <a:headEnd type="none"/>
          <a:tailEnd type="none"/>
        </a:ln>
      </cdr:spPr>
      <c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Sample autocorrelations are high (positive or negative) for first 30 lags, with no clear pattern. They don't decline to a normal distribution with a standard deviation of 4% (a white noise process) until about120 lags.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0.194</cdr:y>
    </cdr:from>
    <cdr:to>
      <cdr:x>0.79225</cdr:x>
      <cdr:y>0.219</cdr:y>
    </cdr:to>
    <cdr:sp>
      <cdr:nvSpPr>
        <cdr:cNvPr id="1" name="AutoShape 1"/>
        <cdr:cNvSpPr>
          <a:spLocks/>
        </cdr:cNvSpPr>
      </cdr:nvSpPr>
      <cdr:spPr>
        <a:xfrm>
          <a:off x="5953125" y="1143000"/>
          <a:ext cx="923925" cy="152400"/>
        </a:xfrm>
        <a:prstGeom prst="wedgeRectCallout">
          <a:avLst>
            <a:gd name="adj1" fmla="val -58060"/>
            <a:gd name="adj2" fmla="val 93185"/>
          </a:avLst>
        </a:prstGeom>
        <a:solidFill>
          <a:srgbClr val="FFFFFF"/>
        </a:solidFill>
        <a:ln w="9525" cmpd="sng">
          <a:solidFill>
            <a:srgbClr val="000000"/>
          </a:solidFill>
          <a:headEnd type="none"/>
          <a:tailEnd type="none"/>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May 1981: 16.29%</a:t>
          </a:r>
        </a:p>
      </cdr:txBody>
    </cdr:sp>
  </cdr:relSizeAnchor>
  <cdr:relSizeAnchor xmlns:cdr="http://schemas.openxmlformats.org/drawingml/2006/chartDrawing">
    <cdr:from>
      <cdr:x>0.62275</cdr:x>
      <cdr:y>0.73875</cdr:y>
    </cdr:from>
    <cdr:to>
      <cdr:x>0.7295</cdr:x>
      <cdr:y>0.76375</cdr:y>
    </cdr:to>
    <cdr:sp>
      <cdr:nvSpPr>
        <cdr:cNvPr id="2" name="AutoShape 2"/>
        <cdr:cNvSpPr>
          <a:spLocks/>
        </cdr:cNvSpPr>
      </cdr:nvSpPr>
      <cdr:spPr>
        <a:xfrm flipV="1">
          <a:off x="5400675" y="4381500"/>
          <a:ext cx="923925" cy="152400"/>
        </a:xfrm>
        <a:prstGeom prst="wedgeRectCallout">
          <a:avLst>
            <a:gd name="adj1" fmla="val -72310"/>
            <a:gd name="adj2" fmla="val 127268"/>
          </a:avLst>
        </a:prstGeom>
        <a:solidFill>
          <a:srgbClr val="FFFFFF"/>
        </a:solidFill>
        <a:ln w="9525" cmpd="sng">
          <a:solidFill>
            <a:srgbClr val="000000"/>
          </a:solidFill>
          <a:headEnd type="none"/>
          <a:tailEnd type="none"/>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Dec 1976: 4.36%</a:t>
          </a:r>
        </a:p>
      </cdr:txBody>
    </cdr:sp>
  </cdr:relSizeAnchor>
  <cdr:relSizeAnchor xmlns:cdr="http://schemas.openxmlformats.org/drawingml/2006/chartDrawing">
    <cdr:from>
      <cdr:x>0.3835</cdr:x>
      <cdr:y>0.498</cdr:y>
    </cdr:from>
    <cdr:to>
      <cdr:x>0.4855</cdr:x>
      <cdr:y>0.534</cdr:y>
    </cdr:to>
    <cdr:sp>
      <cdr:nvSpPr>
        <cdr:cNvPr id="3" name="AutoShape 3"/>
        <cdr:cNvSpPr>
          <a:spLocks/>
        </cdr:cNvSpPr>
      </cdr:nvSpPr>
      <cdr:spPr>
        <a:xfrm flipH="1">
          <a:off x="3324225" y="2952750"/>
          <a:ext cx="885825" cy="209550"/>
        </a:xfrm>
        <a:prstGeom prst="wedgeRectCallout">
          <a:avLst>
            <a:gd name="adj1" fmla="val -48402"/>
            <a:gd name="adj2" fmla="val 140319"/>
          </a:avLst>
        </a:prstGeom>
        <a:solidFill>
          <a:srgbClr val="FFFFFF"/>
        </a:solidFill>
        <a:ln w="9525" cmpd="sng">
          <a:solidFill>
            <a:srgbClr val="000000"/>
          </a:solidFill>
          <a:headEnd type="none"/>
          <a:tailEnd type="none"/>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Jan 1970: 7.92%</a:t>
          </a:r>
        </a:p>
      </cdr:txBody>
    </cdr:sp>
  </cdr:relSizeAnchor>
  <cdr:relSizeAnchor xmlns:cdr="http://schemas.openxmlformats.org/drawingml/2006/chartDrawing">
    <cdr:from>
      <cdr:x>0.20925</cdr:x>
      <cdr:y>0.194</cdr:y>
    </cdr:from>
    <cdr:to>
      <cdr:x>0.51975</cdr:x>
      <cdr:y>0.395</cdr:y>
    </cdr:to>
    <cdr:sp>
      <cdr:nvSpPr>
        <cdr:cNvPr id="4" name="Text Box 4"/>
        <cdr:cNvSpPr txBox="1">
          <a:spLocks noChangeArrowheads="1"/>
        </cdr:cNvSpPr>
      </cdr:nvSpPr>
      <cdr:spPr>
        <a:xfrm>
          <a:off x="1809750" y="1143000"/>
          <a:ext cx="2695575" cy="1190625"/>
        </a:xfrm>
        <a:prstGeom prst="rect">
          <a:avLst/>
        </a:prstGeom>
        <a:noFill/>
        <a:ln w="9525" cmpd="sng">
          <a:noFill/>
        </a:ln>
      </cdr:spPr>
      <cdr:txBody>
        <a:bodyPr vertOverflow="clip" wrap="square" lIns="27432" tIns="22860" rIns="27432" bIns="0"/>
        <a:p>
          <a:pPr algn="just">
            <a:defRPr/>
          </a:pPr>
          <a:r>
            <a:rPr lang="en-US" cap="none" sz="800" b="0" i="0" u="none" baseline="0">
              <a:solidFill>
                <a:srgbClr val="000000"/>
              </a:solidFill>
              <a:latin typeface="Arial"/>
              <a:ea typeface="Arial"/>
              <a:cs typeface="Arial"/>
            </a:rPr>
            <a:t>Three month Treasury bills show three patterns: (i) increasing from Jan 1945 to May 1979 (ii) highly variables for May 1979 to Oct 1982 (iii) decreasing from Oct 1982 to June 2000. The periods are not distinct; the dividing points can be chosen at many dates. You select periods, form real interst rates, detrend, regress on the change in GDP, take first differences, and other adjustments to form homogeneous, stationary time series, which can be modeled by ARIMA processes.</a:t>
          </a:r>
        </a:p>
      </cdr:txBody>
    </cdr:sp>
  </cdr:relSizeAnchor>
  <cdr:relSizeAnchor xmlns:cdr="http://schemas.openxmlformats.org/drawingml/2006/chartDrawing">
    <cdr:from>
      <cdr:x>0.538</cdr:x>
      <cdr:y>0.428</cdr:y>
    </cdr:from>
    <cdr:to>
      <cdr:x>0.63925</cdr:x>
      <cdr:y>0.46425</cdr:y>
    </cdr:to>
    <cdr:sp>
      <cdr:nvSpPr>
        <cdr:cNvPr id="5" name="AutoShape 5"/>
        <cdr:cNvSpPr>
          <a:spLocks/>
        </cdr:cNvSpPr>
      </cdr:nvSpPr>
      <cdr:spPr>
        <a:xfrm flipH="1">
          <a:off x="4667250" y="2533650"/>
          <a:ext cx="876300" cy="219075"/>
        </a:xfrm>
        <a:prstGeom prst="wedgeRectCallout">
          <a:avLst>
            <a:gd name="adj1" fmla="val -48402"/>
            <a:gd name="adj2" fmla="val 140319"/>
          </a:avLst>
        </a:prstGeom>
        <a:solidFill>
          <a:srgbClr val="FFFFFF"/>
        </a:solidFill>
        <a:ln w="9525" cmpd="sng">
          <a:solidFill>
            <a:srgbClr val="000000"/>
          </a:solidFill>
          <a:headEnd type="none"/>
          <a:tailEnd type="none"/>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May 1979: 9.58%</a:t>
          </a:r>
        </a:p>
      </cdr:txBody>
    </cdr:sp>
  </cdr:relSizeAnchor>
  <cdr:relSizeAnchor xmlns:cdr="http://schemas.openxmlformats.org/drawingml/2006/chartDrawing">
    <cdr:from>
      <cdr:x>0.63925</cdr:x>
      <cdr:y>0.66425</cdr:y>
    </cdr:from>
    <cdr:to>
      <cdr:x>0.74625</cdr:x>
      <cdr:y>0.6895</cdr:y>
    </cdr:to>
    <cdr:sp>
      <cdr:nvSpPr>
        <cdr:cNvPr id="6" name="AutoShape 6"/>
        <cdr:cNvSpPr>
          <a:spLocks/>
        </cdr:cNvSpPr>
      </cdr:nvSpPr>
      <cdr:spPr>
        <a:xfrm flipV="1">
          <a:off x="5543550" y="3933825"/>
          <a:ext cx="923925" cy="152400"/>
        </a:xfrm>
        <a:prstGeom prst="wedgeRectCallout">
          <a:avLst>
            <a:gd name="adj1" fmla="val -1148"/>
            <a:gd name="adj2" fmla="val 373805"/>
          </a:avLst>
        </a:prstGeom>
        <a:solidFill>
          <a:srgbClr val="FFFFFF"/>
        </a:solidFill>
        <a:ln w="9525" cmpd="sng">
          <a:solidFill>
            <a:srgbClr val="000000"/>
          </a:solidFill>
          <a:headEnd type="none"/>
          <a:tailEnd type="none"/>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Oct 1982: 7.75%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64</xdr:row>
      <xdr:rowOff>0</xdr:rowOff>
    </xdr:from>
    <xdr:to>
      <xdr:col>7</xdr:col>
      <xdr:colOff>66675</xdr:colOff>
      <xdr:row>67</xdr:row>
      <xdr:rowOff>133350</xdr:rowOff>
    </xdr:to>
    <xdr:sp>
      <xdr:nvSpPr>
        <xdr:cNvPr id="1" name="Rectangular Callout 2"/>
        <xdr:cNvSpPr>
          <a:spLocks/>
        </xdr:cNvSpPr>
      </xdr:nvSpPr>
      <xdr:spPr>
        <a:xfrm>
          <a:off x="2571750" y="10363200"/>
          <a:ext cx="1762125" cy="619125"/>
        </a:xfrm>
        <a:prstGeom prst="wedgeRectCallout">
          <a:avLst>
            <a:gd name="adj1" fmla="val -66236"/>
            <a:gd name="adj2" fmla="val -6826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Values are missing</a:t>
          </a:r>
          <a:r>
            <a:rPr lang="en-US" cap="none" sz="1100" b="0" i="0" u="none" baseline="0">
              <a:solidFill>
                <a:srgbClr val="000000"/>
              </a:solidFill>
            </a:rPr>
            <a:t> for Jan 1936 - Jan 1941 (no auction).</a:t>
          </a:r>
        </a:p>
      </xdr:txBody>
    </xdr:sp>
    <xdr:clientData/>
  </xdr:twoCellAnchor>
  <xdr:twoCellAnchor>
    <xdr:from>
      <xdr:col>11</xdr:col>
      <xdr:colOff>161925</xdr:colOff>
      <xdr:row>121</xdr:row>
      <xdr:rowOff>123825</xdr:rowOff>
    </xdr:from>
    <xdr:to>
      <xdr:col>14</xdr:col>
      <xdr:colOff>276225</xdr:colOff>
      <xdr:row>127</xdr:row>
      <xdr:rowOff>19050</xdr:rowOff>
    </xdr:to>
    <xdr:sp>
      <xdr:nvSpPr>
        <xdr:cNvPr id="2" name="Rectangular Callout 3"/>
        <xdr:cNvSpPr>
          <a:spLocks/>
        </xdr:cNvSpPr>
      </xdr:nvSpPr>
      <xdr:spPr>
        <a:xfrm>
          <a:off x="6867525" y="19716750"/>
          <a:ext cx="1943100" cy="866775"/>
        </a:xfrm>
        <a:prstGeom prst="wedgeRectCallout">
          <a:avLst>
            <a:gd name="adj1" fmla="val 99263"/>
            <a:gd name="adj2" fmla="val -673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Sample autocorrelation</a:t>
          </a:r>
          <a:r>
            <a:rPr lang="en-US" cap="none" sz="1100" b="0" i="0" u="none" baseline="0">
              <a:solidFill>
                <a:srgbClr val="000000"/>
              </a:solidFill>
            </a:rPr>
            <a:t>s of entire time series (starting Feb 1941). First 200 lags hasve positive sample autocorrelations. The time series is not stationary.  </a:t>
          </a:r>
        </a:p>
      </xdr:txBody>
    </xdr:sp>
    <xdr:clientData/>
  </xdr:twoCellAnchor>
  <xdr:twoCellAnchor>
    <xdr:from>
      <xdr:col>17</xdr:col>
      <xdr:colOff>533400</xdr:colOff>
      <xdr:row>109</xdr:row>
      <xdr:rowOff>133350</xdr:rowOff>
    </xdr:from>
    <xdr:to>
      <xdr:col>21</xdr:col>
      <xdr:colOff>38100</xdr:colOff>
      <xdr:row>115</xdr:row>
      <xdr:rowOff>28575</xdr:rowOff>
    </xdr:to>
    <xdr:sp>
      <xdr:nvSpPr>
        <xdr:cNvPr id="3" name="Rectangular Callout 4"/>
        <xdr:cNvSpPr>
          <a:spLocks/>
        </xdr:cNvSpPr>
      </xdr:nvSpPr>
      <xdr:spPr>
        <a:xfrm>
          <a:off x="10896600" y="17783175"/>
          <a:ext cx="1943100" cy="866775"/>
        </a:xfrm>
        <a:prstGeom prst="wedgeRectCallout">
          <a:avLst>
            <a:gd name="adj1" fmla="val -19851"/>
            <a:gd name="adj2" fmla="val 12513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Sample autocorrelation</a:t>
          </a:r>
          <a:r>
            <a:rPr lang="en-US" cap="none" sz="1100" b="0" i="0" u="none" baseline="0">
              <a:solidFill>
                <a:srgbClr val="000000"/>
              </a:solidFill>
            </a:rPr>
            <a:t>s of first diffrences. Large for several early lags, indicating that original time series is not a random walk.  </a:t>
          </a:r>
        </a:p>
      </xdr:txBody>
    </xdr:sp>
    <xdr:clientData/>
  </xdr:twoCellAnchor>
  <xdr:twoCellAnchor>
    <xdr:from>
      <xdr:col>8</xdr:col>
      <xdr:colOff>400050</xdr:colOff>
      <xdr:row>153</xdr:row>
      <xdr:rowOff>142875</xdr:rowOff>
    </xdr:from>
    <xdr:to>
      <xdr:col>11</xdr:col>
      <xdr:colOff>514350</xdr:colOff>
      <xdr:row>159</xdr:row>
      <xdr:rowOff>38100</xdr:rowOff>
    </xdr:to>
    <xdr:sp>
      <xdr:nvSpPr>
        <xdr:cNvPr id="4" name="Rectangular Callout 5"/>
        <xdr:cNvSpPr>
          <a:spLocks/>
        </xdr:cNvSpPr>
      </xdr:nvSpPr>
      <xdr:spPr>
        <a:xfrm>
          <a:off x="5276850" y="24917400"/>
          <a:ext cx="1943100" cy="866775"/>
        </a:xfrm>
        <a:prstGeom prst="wedgeRectCallout">
          <a:avLst>
            <a:gd name="adj1" fmla="val -27694"/>
            <a:gd name="adj2" fmla="val 21085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Sample autocorrelation</a:t>
          </a:r>
          <a:r>
            <a:rPr lang="en-US" cap="none" sz="1100" b="0" i="0" u="none" baseline="0">
              <a:solidFill>
                <a:srgbClr val="000000"/>
              </a:solidFill>
            </a:rPr>
            <a:t>s of entire time series (starting Jan 1945). First 195 lags hasve positive sample autocorrelations. The time series is not stationary.  </a:t>
          </a:r>
        </a:p>
      </xdr:txBody>
    </xdr:sp>
    <xdr:clientData/>
  </xdr:twoCellAnchor>
  <xdr:twoCellAnchor>
    <xdr:from>
      <xdr:col>4</xdr:col>
      <xdr:colOff>400050</xdr:colOff>
      <xdr:row>152</xdr:row>
      <xdr:rowOff>142875</xdr:rowOff>
    </xdr:from>
    <xdr:to>
      <xdr:col>7</xdr:col>
      <xdr:colOff>514350</xdr:colOff>
      <xdr:row>158</xdr:row>
      <xdr:rowOff>38100</xdr:rowOff>
    </xdr:to>
    <xdr:sp>
      <xdr:nvSpPr>
        <xdr:cNvPr id="5" name="Rectangular Callout 6"/>
        <xdr:cNvSpPr>
          <a:spLocks/>
        </xdr:cNvSpPr>
      </xdr:nvSpPr>
      <xdr:spPr>
        <a:xfrm>
          <a:off x="2838450" y="24755475"/>
          <a:ext cx="1943100" cy="866775"/>
        </a:xfrm>
        <a:prstGeom prst="wedgeRectCallout">
          <a:avLst>
            <a:gd name="adj1" fmla="val -27694"/>
            <a:gd name="adj2" fmla="val 21085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Sample autocorrelation</a:t>
          </a:r>
          <a:r>
            <a:rPr lang="en-US" cap="none" sz="1100" b="0" i="0" u="none" baseline="0">
              <a:solidFill>
                <a:srgbClr val="000000"/>
              </a:solidFill>
            </a:rPr>
            <a:t>s by sub-period, shown in three columns. The time series is not stationary even by sub-period, but it is easier to convert to stationay.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cdr:x>
      <cdr:y>0.4725</cdr:y>
    </cdr:from>
    <cdr:to>
      <cdr:x>0.43175</cdr:x>
      <cdr:y>0.5565</cdr:y>
    </cdr:to>
    <cdr:sp>
      <cdr:nvSpPr>
        <cdr:cNvPr id="1" name="AutoShape 1"/>
        <cdr:cNvSpPr>
          <a:spLocks/>
        </cdr:cNvSpPr>
      </cdr:nvSpPr>
      <cdr:spPr>
        <a:xfrm>
          <a:off x="1381125" y="2800350"/>
          <a:ext cx="2362200" cy="495300"/>
        </a:xfrm>
        <a:prstGeom prst="wedgeRectCallout">
          <a:avLst>
            <a:gd name="adj" fmla="val -46518"/>
          </a:avLst>
        </a:prstGeom>
        <a:solidFill>
          <a:srgbClr val="FFFFFF"/>
        </a:solidFill>
        <a:ln w="9525" cmpd="sng">
          <a:noFill/>
        </a:ln>
      </cdr:spPr>
      <c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Sample autocorrelations are positive for first 50 lags. Patterns remain for all lags, though values are close to zero. The series is not stationary.</a:t>
          </a:r>
        </a:p>
      </cdr:txBody>
    </cdr:sp>
  </cdr:relSizeAnchor>
  <cdr:relSizeAnchor xmlns:cdr="http://schemas.openxmlformats.org/drawingml/2006/chartDrawing">
    <cdr:from>
      <cdr:x>0.661</cdr:x>
      <cdr:y>0.356</cdr:y>
    </cdr:from>
    <cdr:to>
      <cdr:x>0.90875</cdr:x>
      <cdr:y>0.4695</cdr:y>
    </cdr:to>
    <cdr:sp>
      <cdr:nvSpPr>
        <cdr:cNvPr id="2" name="Text Box 2"/>
        <cdr:cNvSpPr txBox="1">
          <a:spLocks noChangeArrowheads="1"/>
        </cdr:cNvSpPr>
      </cdr:nvSpPr>
      <cdr:spPr>
        <a:xfrm>
          <a:off x="5734050" y="2105025"/>
          <a:ext cx="2152650" cy="676275"/>
        </a:xfrm>
        <a:prstGeom prst="rect">
          <a:avLst/>
        </a:prstGeom>
        <a:noFill/>
        <a:ln w="9525" cmpd="sng">
          <a:noFill/>
        </a:ln>
      </cdr:spPr>
      <c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Real interest rates are nominal interest rates divided by expected inflation. We use previous month's actual inflation as the expected inflation for this month. This proxy is not good, but it is the best we have.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sheetPr codeName="Sheet1"/>
  <dimension ref="A1:S837"/>
  <sheetViews>
    <sheetView tabSelected="1" zoomScalePageLayoutView="0" workbookViewId="0" topLeftCell="E813">
      <selection activeCell="G167" sqref="G167"/>
    </sheetView>
  </sheetViews>
  <sheetFormatPr defaultColWidth="9.140625" defaultRowHeight="12.75"/>
  <cols>
    <col min="10" max="10" width="9.140625" style="2" customWidth="1"/>
    <col min="12" max="12" width="9.140625" style="2" customWidth="1"/>
  </cols>
  <sheetData>
    <row r="1" ht="12.75">
      <c r="A1" t="s">
        <v>0</v>
      </c>
    </row>
    <row r="2" ht="12.75"/>
    <row r="3" ht="12.75">
      <c r="D3" t="s">
        <v>1</v>
      </c>
    </row>
    <row r="4" spans="1:4" ht="12.75">
      <c r="A4" s="1">
        <f>DATE(1931,1,1)</f>
        <v>11324</v>
      </c>
      <c r="B4">
        <v>1931</v>
      </c>
      <c r="C4">
        <v>1</v>
      </c>
      <c r="D4">
        <v>0.95</v>
      </c>
    </row>
    <row r="5" spans="1:4" ht="12.75">
      <c r="A5" s="1">
        <f>DATE(1931,2,1)</f>
        <v>11355</v>
      </c>
      <c r="B5">
        <v>1931</v>
      </c>
      <c r="C5">
        <v>2</v>
      </c>
      <c r="D5">
        <v>1.21</v>
      </c>
    </row>
    <row r="6" spans="1:4" ht="12.75">
      <c r="A6" s="1">
        <f>DATE(1931,3,1)</f>
        <v>11383</v>
      </c>
      <c r="B6">
        <v>1931</v>
      </c>
      <c r="C6">
        <v>3</v>
      </c>
      <c r="D6">
        <v>1.46</v>
      </c>
    </row>
    <row r="7" spans="1:4" ht="12.75">
      <c r="A7" s="1">
        <f>DATE(1931,4,1)</f>
        <v>11414</v>
      </c>
      <c r="B7">
        <v>1931</v>
      </c>
      <c r="C7">
        <v>4</v>
      </c>
      <c r="D7">
        <v>1.31</v>
      </c>
    </row>
    <row r="8" spans="1:4" ht="12.75">
      <c r="A8" s="1">
        <f>DATE(1931,5,1)</f>
        <v>11444</v>
      </c>
      <c r="B8">
        <v>1931</v>
      </c>
      <c r="C8">
        <v>5</v>
      </c>
      <c r="D8">
        <v>1.01</v>
      </c>
    </row>
    <row r="9" spans="1:4" ht="12.75">
      <c r="A9" s="1">
        <f>DATE(1931,6,1)</f>
        <v>11475</v>
      </c>
      <c r="B9">
        <v>1931</v>
      </c>
      <c r="C9">
        <v>6</v>
      </c>
      <c r="D9">
        <v>0.63</v>
      </c>
    </row>
    <row r="10" spans="1:4" ht="12.75">
      <c r="A10" s="1">
        <f>DATE(1931,7,1)</f>
        <v>11505</v>
      </c>
      <c r="B10">
        <v>1931</v>
      </c>
      <c r="C10">
        <v>7</v>
      </c>
      <c r="D10">
        <v>0.48</v>
      </c>
    </row>
    <row r="11" spans="1:4" ht="12.75">
      <c r="A11" s="1">
        <f>DATE(1931,8,1)</f>
        <v>11536</v>
      </c>
      <c r="B11">
        <v>1931</v>
      </c>
      <c r="C11">
        <v>8</v>
      </c>
      <c r="D11">
        <v>0.6</v>
      </c>
    </row>
    <row r="12" spans="1:4" ht="12.75">
      <c r="A12" s="1">
        <f>DATE(1931,9,1)</f>
        <v>11567</v>
      </c>
      <c r="B12">
        <v>1931</v>
      </c>
      <c r="C12">
        <v>9</v>
      </c>
      <c r="D12">
        <v>1.22</v>
      </c>
    </row>
    <row r="13" spans="1:4" ht="12.75">
      <c r="A13" s="1">
        <f>DATE(1931,10,1)</f>
        <v>11597</v>
      </c>
      <c r="B13">
        <v>1931</v>
      </c>
      <c r="C13">
        <v>10</v>
      </c>
      <c r="D13">
        <v>2.47</v>
      </c>
    </row>
    <row r="14" spans="1:4" ht="12.75">
      <c r="A14" s="1">
        <f>DATE(1931,11,1)</f>
        <v>11628</v>
      </c>
      <c r="B14">
        <v>1931</v>
      </c>
      <c r="C14">
        <v>11</v>
      </c>
      <c r="D14">
        <v>2.22</v>
      </c>
    </row>
    <row r="15" spans="1:4" ht="12.75">
      <c r="A15" s="1">
        <f>DATE(1931,12,1)</f>
        <v>11658</v>
      </c>
      <c r="B15">
        <v>1931</v>
      </c>
      <c r="C15">
        <v>12</v>
      </c>
      <c r="D15">
        <v>3.25</v>
      </c>
    </row>
    <row r="16" spans="1:4" ht="12.75">
      <c r="A16" s="1">
        <f>DATE(1932,1,1)</f>
        <v>11689</v>
      </c>
      <c r="B16">
        <v>1932</v>
      </c>
      <c r="C16">
        <v>1</v>
      </c>
      <c r="D16">
        <v>2.68</v>
      </c>
    </row>
    <row r="17" spans="1:4" ht="12.75">
      <c r="A17" s="1">
        <f>DATE(1932,2,1)</f>
        <v>11720</v>
      </c>
      <c r="B17">
        <v>1932</v>
      </c>
      <c r="C17">
        <v>2</v>
      </c>
      <c r="D17">
        <v>2.65</v>
      </c>
    </row>
    <row r="18" spans="1:4" ht="12.75">
      <c r="A18" s="1">
        <f>DATE(1932,3,1)</f>
        <v>11749</v>
      </c>
      <c r="B18">
        <v>1932</v>
      </c>
      <c r="C18">
        <v>3</v>
      </c>
      <c r="D18">
        <v>2.08</v>
      </c>
    </row>
    <row r="19" spans="1:4" ht="12.75">
      <c r="A19" s="1">
        <f>DATE(1932,4,1)</f>
        <v>11780</v>
      </c>
      <c r="B19">
        <v>1932</v>
      </c>
      <c r="C19">
        <v>4</v>
      </c>
      <c r="D19">
        <v>0.77</v>
      </c>
    </row>
    <row r="20" spans="1:4" ht="12.75">
      <c r="A20" s="1">
        <f>DATE(1932,5,1)</f>
        <v>11810</v>
      </c>
      <c r="B20">
        <v>1932</v>
      </c>
      <c r="C20">
        <v>5</v>
      </c>
      <c r="D20">
        <v>0.43</v>
      </c>
    </row>
    <row r="21" spans="1:4" ht="12.75">
      <c r="A21" s="1">
        <f>DATE(1932,6,1)</f>
        <v>11841</v>
      </c>
      <c r="B21">
        <v>1932</v>
      </c>
      <c r="C21">
        <v>6</v>
      </c>
      <c r="D21">
        <v>0.41</v>
      </c>
    </row>
    <row r="22" spans="1:4" ht="12.75">
      <c r="A22" s="1">
        <f>DATE(1932,7,1)</f>
        <v>11871</v>
      </c>
      <c r="B22">
        <v>1932</v>
      </c>
      <c r="C22">
        <v>7</v>
      </c>
      <c r="D22">
        <v>0.42</v>
      </c>
    </row>
    <row r="23" spans="1:4" ht="12.75">
      <c r="A23" s="1">
        <f>DATE(1932,8,1)</f>
        <v>11902</v>
      </c>
      <c r="B23">
        <v>1932</v>
      </c>
      <c r="C23">
        <v>8</v>
      </c>
      <c r="D23">
        <v>0.44</v>
      </c>
    </row>
    <row r="24" spans="1:4" ht="12.75">
      <c r="A24" s="1">
        <f>DATE(1932,9,1)</f>
        <v>11933</v>
      </c>
      <c r="B24">
        <v>1932</v>
      </c>
      <c r="C24">
        <v>9</v>
      </c>
      <c r="D24">
        <v>0.23</v>
      </c>
    </row>
    <row r="25" spans="1:4" ht="12.75">
      <c r="A25" s="1">
        <f>DATE(1932,10,1)</f>
        <v>11963</v>
      </c>
      <c r="B25">
        <v>1932</v>
      </c>
      <c r="C25">
        <v>10</v>
      </c>
      <c r="D25">
        <v>0.18</v>
      </c>
    </row>
    <row r="26" spans="1:4" ht="12.75">
      <c r="A26" s="1">
        <f>DATE(1932,11,1)</f>
        <v>11994</v>
      </c>
      <c r="B26">
        <v>1932</v>
      </c>
      <c r="C26">
        <v>11</v>
      </c>
      <c r="D26">
        <v>0.18</v>
      </c>
    </row>
    <row r="27" spans="1:4" ht="12.75">
      <c r="A27" s="1">
        <f>DATE(1932,12,1)</f>
        <v>12024</v>
      </c>
      <c r="B27">
        <v>1932</v>
      </c>
      <c r="C27">
        <v>12</v>
      </c>
      <c r="D27">
        <v>0.08</v>
      </c>
    </row>
    <row r="28" spans="1:4" ht="12.75">
      <c r="A28" s="1">
        <f>DATE(1933,1,1)</f>
        <v>12055</v>
      </c>
      <c r="B28">
        <v>1933</v>
      </c>
      <c r="C28">
        <v>1</v>
      </c>
      <c r="D28">
        <v>0.21</v>
      </c>
    </row>
    <row r="29" spans="1:4" ht="12.75">
      <c r="A29" s="1">
        <f>DATE(1933,2,1)</f>
        <v>12086</v>
      </c>
      <c r="B29">
        <v>1933</v>
      </c>
      <c r="C29">
        <v>2</v>
      </c>
      <c r="D29">
        <v>0.48</v>
      </c>
    </row>
    <row r="30" spans="1:4" ht="12.75">
      <c r="A30" s="1">
        <f>DATE(1933,3,1)</f>
        <v>12114</v>
      </c>
      <c r="B30">
        <v>1933</v>
      </c>
      <c r="C30">
        <v>3</v>
      </c>
      <c r="D30">
        <v>2.29</v>
      </c>
    </row>
    <row r="31" spans="1:4" ht="12.75">
      <c r="A31" s="1">
        <f>DATE(1933,4,1)</f>
        <v>12145</v>
      </c>
      <c r="B31">
        <v>1933</v>
      </c>
      <c r="C31">
        <v>4</v>
      </c>
      <c r="D31">
        <v>0.56</v>
      </c>
    </row>
    <row r="32" spans="1:4" ht="12.75">
      <c r="A32" s="1">
        <f>DATE(1933,5,1)</f>
        <v>12175</v>
      </c>
      <c r="B32">
        <v>1933</v>
      </c>
      <c r="C32">
        <v>5</v>
      </c>
      <c r="D32">
        <v>0.42</v>
      </c>
    </row>
    <row r="33" spans="1:4" ht="12.75">
      <c r="A33" s="1">
        <f>DATE(1933,6,1)</f>
        <v>12206</v>
      </c>
      <c r="B33">
        <v>1933</v>
      </c>
      <c r="C33">
        <v>6</v>
      </c>
      <c r="D33">
        <v>0.27</v>
      </c>
    </row>
    <row r="34" spans="1:4" ht="12.75">
      <c r="A34" s="1">
        <f>DATE(1933,7,1)</f>
        <v>12236</v>
      </c>
      <c r="B34">
        <v>1933</v>
      </c>
      <c r="C34">
        <v>7</v>
      </c>
      <c r="D34">
        <v>0.37</v>
      </c>
    </row>
    <row r="35" spans="1:4" ht="12.75">
      <c r="A35" s="1">
        <f>DATE(1933,8,1)</f>
        <v>12267</v>
      </c>
      <c r="B35">
        <v>1933</v>
      </c>
      <c r="C35">
        <v>8</v>
      </c>
      <c r="D35">
        <v>0.21</v>
      </c>
    </row>
    <row r="36" spans="1:4" ht="12.75">
      <c r="A36" s="1">
        <f>DATE(1933,9,1)</f>
        <v>12298</v>
      </c>
      <c r="B36">
        <v>1933</v>
      </c>
      <c r="C36">
        <v>9</v>
      </c>
      <c r="D36">
        <v>0.1</v>
      </c>
    </row>
    <row r="37" spans="1:4" ht="12.75">
      <c r="A37" s="1">
        <f>DATE(1933,10,1)</f>
        <v>12328</v>
      </c>
      <c r="B37">
        <v>1933</v>
      </c>
      <c r="C37">
        <v>10</v>
      </c>
      <c r="D37">
        <v>0.16</v>
      </c>
    </row>
    <row r="38" spans="1:4" ht="12.75">
      <c r="A38" s="1">
        <f>DATE(1933,11,1)</f>
        <v>12359</v>
      </c>
      <c r="B38">
        <v>1933</v>
      </c>
      <c r="C38">
        <v>11</v>
      </c>
      <c r="D38">
        <v>0.42</v>
      </c>
    </row>
    <row r="39" spans="1:4" ht="12.75">
      <c r="A39" s="1">
        <f>DATE(1933,12,1)</f>
        <v>12389</v>
      </c>
      <c r="B39">
        <v>1933</v>
      </c>
      <c r="C39">
        <v>12</v>
      </c>
      <c r="D39">
        <v>0.69</v>
      </c>
    </row>
    <row r="40" spans="1:4" ht="12.75">
      <c r="A40" s="1">
        <f>DATE(1934,1,1)</f>
        <v>12420</v>
      </c>
      <c r="B40">
        <v>1934</v>
      </c>
      <c r="C40">
        <v>1</v>
      </c>
      <c r="D40">
        <v>0.67</v>
      </c>
    </row>
    <row r="41" spans="1:4" ht="12.75">
      <c r="A41" s="1">
        <f>DATE(1934,2,1)</f>
        <v>12451</v>
      </c>
      <c r="B41">
        <v>1934</v>
      </c>
      <c r="C41">
        <v>2</v>
      </c>
      <c r="D41">
        <v>0.63</v>
      </c>
    </row>
    <row r="42" spans="1:4" ht="12.75">
      <c r="A42" s="1">
        <f>DATE(1934,3,1)</f>
        <v>12479</v>
      </c>
      <c r="B42">
        <v>1934</v>
      </c>
      <c r="C42">
        <v>3</v>
      </c>
      <c r="D42">
        <v>0.27</v>
      </c>
    </row>
    <row r="43" spans="1:4" ht="12.75">
      <c r="A43" s="1">
        <f>DATE(1934,4,1)</f>
        <v>12510</v>
      </c>
      <c r="B43">
        <v>1934</v>
      </c>
      <c r="C43">
        <v>4</v>
      </c>
      <c r="D43">
        <v>0.18</v>
      </c>
    </row>
    <row r="44" spans="1:4" ht="12.75">
      <c r="A44" s="1">
        <f>DATE(1934,5,1)</f>
        <v>12540</v>
      </c>
      <c r="B44">
        <v>1934</v>
      </c>
      <c r="C44">
        <v>5</v>
      </c>
      <c r="D44">
        <v>0.14</v>
      </c>
    </row>
    <row r="45" spans="1:4" ht="12.75">
      <c r="A45" s="1">
        <f>DATE(1934,6,1)</f>
        <v>12571</v>
      </c>
      <c r="B45">
        <v>1934</v>
      </c>
      <c r="C45">
        <v>6</v>
      </c>
      <c r="D45">
        <v>0.07</v>
      </c>
    </row>
    <row r="46" spans="1:4" ht="12.75">
      <c r="A46" s="1">
        <f>DATE(1934,7,1)</f>
        <v>12601</v>
      </c>
      <c r="B46">
        <v>1934</v>
      </c>
      <c r="C46">
        <v>7</v>
      </c>
      <c r="D46">
        <v>0.07</v>
      </c>
    </row>
    <row r="47" spans="1:4" ht="12.75">
      <c r="A47" s="1">
        <f>DATE(1934,8,1)</f>
        <v>12632</v>
      </c>
      <c r="B47">
        <v>1934</v>
      </c>
      <c r="C47">
        <v>8</v>
      </c>
      <c r="D47">
        <v>0.2</v>
      </c>
    </row>
    <row r="48" spans="1:4" ht="12.75">
      <c r="A48" s="1">
        <f>DATE(1934,9,1)</f>
        <v>12663</v>
      </c>
      <c r="B48">
        <v>1934</v>
      </c>
      <c r="C48">
        <v>9</v>
      </c>
      <c r="D48">
        <v>0.27</v>
      </c>
    </row>
    <row r="49" spans="1:4" ht="12.75">
      <c r="A49" s="1">
        <f>DATE(1934,10,1)</f>
        <v>12693</v>
      </c>
      <c r="B49">
        <v>1934</v>
      </c>
      <c r="C49">
        <v>10</v>
      </c>
      <c r="D49">
        <v>0.21</v>
      </c>
    </row>
    <row r="50" spans="1:4" ht="12.75">
      <c r="A50" s="1">
        <f>DATE(1934,11,1)</f>
        <v>12724</v>
      </c>
      <c r="B50">
        <v>1934</v>
      </c>
      <c r="C50">
        <v>11</v>
      </c>
      <c r="D50">
        <v>0.22</v>
      </c>
    </row>
    <row r="51" spans="1:4" ht="12.75">
      <c r="A51" s="1">
        <f>DATE(1934,12,1)</f>
        <v>12754</v>
      </c>
      <c r="B51">
        <v>1934</v>
      </c>
      <c r="C51">
        <v>12</v>
      </c>
      <c r="D51">
        <v>0.14</v>
      </c>
    </row>
    <row r="52" spans="1:4" ht="12.75">
      <c r="A52" s="1">
        <f>DATE(1935,1,1)</f>
        <v>12785</v>
      </c>
      <c r="B52">
        <v>1935</v>
      </c>
      <c r="C52">
        <v>1</v>
      </c>
      <c r="D52">
        <v>0.14</v>
      </c>
    </row>
    <row r="53" spans="1:4" ht="12.75">
      <c r="A53" s="1">
        <f>DATE(1935,2,1)</f>
        <v>12816</v>
      </c>
      <c r="B53">
        <v>1935</v>
      </c>
      <c r="C53">
        <v>2</v>
      </c>
      <c r="D53">
        <v>0.11</v>
      </c>
    </row>
    <row r="54" spans="1:4" ht="12.75">
      <c r="A54" s="1">
        <f>DATE(1935,3,1)</f>
        <v>12844</v>
      </c>
      <c r="B54">
        <v>1935</v>
      </c>
      <c r="C54">
        <v>3</v>
      </c>
      <c r="D54">
        <v>0.15</v>
      </c>
    </row>
    <row r="55" spans="1:4" ht="12.75">
      <c r="A55" s="1">
        <f>DATE(1935,4,1)</f>
        <v>12875</v>
      </c>
      <c r="B55">
        <v>1935</v>
      </c>
      <c r="C55">
        <v>4</v>
      </c>
      <c r="D55">
        <v>0.17</v>
      </c>
    </row>
    <row r="56" spans="1:4" ht="12.75">
      <c r="A56" s="1">
        <f>DATE(1935,5,1)</f>
        <v>12905</v>
      </c>
      <c r="B56">
        <v>1935</v>
      </c>
      <c r="C56">
        <v>5</v>
      </c>
      <c r="D56">
        <v>0.14</v>
      </c>
    </row>
    <row r="57" spans="1:4" ht="12.75">
      <c r="A57" s="1">
        <f>DATE(1935,6,1)</f>
        <v>12936</v>
      </c>
      <c r="B57">
        <v>1935</v>
      </c>
      <c r="C57">
        <v>6</v>
      </c>
      <c r="D57">
        <v>0.13</v>
      </c>
    </row>
    <row r="58" spans="1:4" ht="12.75">
      <c r="A58" s="1">
        <f>DATE(1935,7,1)</f>
        <v>12966</v>
      </c>
      <c r="B58">
        <v>1935</v>
      </c>
      <c r="C58">
        <v>7</v>
      </c>
      <c r="D58">
        <v>0.06</v>
      </c>
    </row>
    <row r="59" spans="1:4" ht="12.75">
      <c r="A59" s="1">
        <f>DATE(1935,8,1)</f>
        <v>12997</v>
      </c>
      <c r="B59">
        <v>1935</v>
      </c>
      <c r="C59">
        <v>8</v>
      </c>
      <c r="D59">
        <v>0.1</v>
      </c>
    </row>
    <row r="60" spans="1:4" ht="12.75">
      <c r="A60" s="1">
        <f>DATE(1935,9,1)</f>
        <v>13028</v>
      </c>
      <c r="B60">
        <v>1935</v>
      </c>
      <c r="C60">
        <v>9</v>
      </c>
      <c r="D60">
        <v>0.21</v>
      </c>
    </row>
    <row r="61" spans="1:4" ht="12.75">
      <c r="A61" s="1">
        <f>DATE(1935,10,1)</f>
        <v>13058</v>
      </c>
      <c r="B61">
        <v>1935</v>
      </c>
      <c r="C61">
        <v>10</v>
      </c>
      <c r="D61">
        <v>0.19</v>
      </c>
    </row>
    <row r="62" spans="1:4" ht="12.75">
      <c r="A62" s="1">
        <f>DATE(1935,11,1)</f>
        <v>13089</v>
      </c>
      <c r="B62">
        <v>1935</v>
      </c>
      <c r="C62">
        <v>11</v>
      </c>
      <c r="D62">
        <v>0.13</v>
      </c>
    </row>
    <row r="63" spans="1:4" ht="12.75">
      <c r="A63" s="1">
        <f>DATE(1935,12,1)</f>
        <v>13119</v>
      </c>
      <c r="B63">
        <v>1935</v>
      </c>
      <c r="C63">
        <v>12</v>
      </c>
      <c r="D63">
        <v>0.09</v>
      </c>
    </row>
    <row r="64" spans="1:3" ht="12.75">
      <c r="A64" s="1">
        <f>DATE(1936,1,1)</f>
        <v>13150</v>
      </c>
      <c r="B64">
        <v>1936</v>
      </c>
      <c r="C64">
        <v>1</v>
      </c>
    </row>
    <row r="65" spans="1:3" ht="12.75">
      <c r="A65" s="1">
        <f>DATE(1936,2,1)</f>
        <v>13181</v>
      </c>
      <c r="B65">
        <v>1936</v>
      </c>
      <c r="C65">
        <v>2</v>
      </c>
    </row>
    <row r="66" spans="1:3" ht="12.75">
      <c r="A66" s="1">
        <f>DATE(1936,3,1)</f>
        <v>13210</v>
      </c>
      <c r="B66">
        <v>1936</v>
      </c>
      <c r="C66">
        <v>3</v>
      </c>
    </row>
    <row r="67" spans="1:3" ht="12.75">
      <c r="A67" s="1">
        <f>DATE(1936,4,1)</f>
        <v>13241</v>
      </c>
      <c r="B67">
        <v>1936</v>
      </c>
      <c r="C67">
        <v>4</v>
      </c>
    </row>
    <row r="68" spans="1:3" ht="12.75">
      <c r="A68" s="1">
        <f>DATE(1936,5,1)</f>
        <v>13271</v>
      </c>
      <c r="B68">
        <v>1936</v>
      </c>
      <c r="C68">
        <v>5</v>
      </c>
    </row>
    <row r="69" spans="1:3" ht="12.75">
      <c r="A69" s="1">
        <f>DATE(1936,6,1)</f>
        <v>13302</v>
      </c>
      <c r="B69">
        <v>1936</v>
      </c>
      <c r="C69">
        <v>6</v>
      </c>
    </row>
    <row r="70" spans="1:3" ht="12.75">
      <c r="A70" s="1">
        <f>DATE(1936,7,1)</f>
        <v>13332</v>
      </c>
      <c r="B70">
        <v>1936</v>
      </c>
      <c r="C70">
        <v>7</v>
      </c>
    </row>
    <row r="71" spans="1:3" ht="12.75">
      <c r="A71" s="1">
        <f>DATE(1936,8,1)</f>
        <v>13363</v>
      </c>
      <c r="B71">
        <v>1936</v>
      </c>
      <c r="C71">
        <v>8</v>
      </c>
    </row>
    <row r="72" spans="1:3" ht="12.75">
      <c r="A72" s="1">
        <f>DATE(1936,9,1)</f>
        <v>13394</v>
      </c>
      <c r="B72">
        <v>1936</v>
      </c>
      <c r="C72">
        <v>9</v>
      </c>
    </row>
    <row r="73" spans="1:3" ht="12.75">
      <c r="A73" s="1">
        <f>DATE(1936,10,1)</f>
        <v>13424</v>
      </c>
      <c r="B73">
        <v>1936</v>
      </c>
      <c r="C73">
        <v>10</v>
      </c>
    </row>
    <row r="74" spans="1:3" ht="12.75">
      <c r="A74" s="1">
        <f>DATE(1936,11,1)</f>
        <v>13455</v>
      </c>
      <c r="B74">
        <v>1936</v>
      </c>
      <c r="C74">
        <v>11</v>
      </c>
    </row>
    <row r="75" spans="1:3" ht="12.75">
      <c r="A75" s="1">
        <f>DATE(1936,12,1)</f>
        <v>13485</v>
      </c>
      <c r="B75">
        <v>1936</v>
      </c>
      <c r="C75">
        <v>12</v>
      </c>
    </row>
    <row r="76" spans="1:3" ht="12.75">
      <c r="A76" s="1">
        <f>DATE(1937,1,1)</f>
        <v>13516</v>
      </c>
      <c r="B76">
        <v>1937</v>
      </c>
      <c r="C76">
        <v>1</v>
      </c>
    </row>
    <row r="77" spans="1:3" ht="12.75">
      <c r="A77" s="1">
        <f>DATE(1937,2,1)</f>
        <v>13547</v>
      </c>
      <c r="B77">
        <v>1937</v>
      </c>
      <c r="C77">
        <v>2</v>
      </c>
    </row>
    <row r="78" spans="1:3" ht="12.75">
      <c r="A78" s="1">
        <f>DATE(1937,3,1)</f>
        <v>13575</v>
      </c>
      <c r="B78">
        <v>1937</v>
      </c>
      <c r="C78">
        <v>3</v>
      </c>
    </row>
    <row r="79" spans="1:3" ht="12.75">
      <c r="A79" s="1">
        <f>DATE(1937,4,1)</f>
        <v>13606</v>
      </c>
      <c r="B79">
        <v>1937</v>
      </c>
      <c r="C79">
        <v>4</v>
      </c>
    </row>
    <row r="80" spans="1:3" ht="12.75">
      <c r="A80" s="1">
        <f>DATE(1937,5,1)</f>
        <v>13636</v>
      </c>
      <c r="B80">
        <v>1937</v>
      </c>
      <c r="C80">
        <v>5</v>
      </c>
    </row>
    <row r="81" spans="1:3" ht="12.75">
      <c r="A81" s="1">
        <f>DATE(1937,6,1)</f>
        <v>13667</v>
      </c>
      <c r="B81">
        <v>1937</v>
      </c>
      <c r="C81">
        <v>6</v>
      </c>
    </row>
    <row r="82" spans="1:3" ht="12.75">
      <c r="A82" s="1">
        <f>DATE(1937,7,1)</f>
        <v>13697</v>
      </c>
      <c r="B82">
        <v>1937</v>
      </c>
      <c r="C82">
        <v>7</v>
      </c>
    </row>
    <row r="83" spans="1:3" ht="12.75">
      <c r="A83" s="1">
        <f>DATE(1937,8,1)</f>
        <v>13728</v>
      </c>
      <c r="B83">
        <v>1937</v>
      </c>
      <c r="C83">
        <v>8</v>
      </c>
    </row>
    <row r="84" spans="1:3" ht="12.75">
      <c r="A84" s="1">
        <f>DATE(1937,9,1)</f>
        <v>13759</v>
      </c>
      <c r="B84">
        <v>1937</v>
      </c>
      <c r="C84">
        <v>9</v>
      </c>
    </row>
    <row r="85" spans="1:3" ht="12.75">
      <c r="A85" s="1">
        <f>DATE(1937,10,1)</f>
        <v>13789</v>
      </c>
      <c r="B85">
        <v>1937</v>
      </c>
      <c r="C85">
        <v>10</v>
      </c>
    </row>
    <row r="86" spans="1:3" ht="12.75">
      <c r="A86" s="1">
        <f>DATE(1937,11,1)</f>
        <v>13820</v>
      </c>
      <c r="B86">
        <v>1937</v>
      </c>
      <c r="C86">
        <v>11</v>
      </c>
    </row>
    <row r="87" spans="1:3" ht="12.75">
      <c r="A87" s="1">
        <f>DATE(1937,12,1)</f>
        <v>13850</v>
      </c>
      <c r="B87">
        <v>1937</v>
      </c>
      <c r="C87">
        <v>12</v>
      </c>
    </row>
    <row r="88" spans="1:3" ht="12.75">
      <c r="A88" s="1">
        <f>DATE(1938,1,1)</f>
        <v>13881</v>
      </c>
      <c r="B88">
        <v>1938</v>
      </c>
      <c r="C88">
        <v>1</v>
      </c>
    </row>
    <row r="89" spans="1:3" ht="12.75">
      <c r="A89" s="1">
        <f>DATE(1938,2,1)</f>
        <v>13912</v>
      </c>
      <c r="B89">
        <v>1938</v>
      </c>
      <c r="C89">
        <v>2</v>
      </c>
    </row>
    <row r="90" spans="1:3" ht="12.75">
      <c r="A90" s="1">
        <f>DATE(1938,3,1)</f>
        <v>13940</v>
      </c>
      <c r="B90">
        <v>1938</v>
      </c>
      <c r="C90">
        <v>3</v>
      </c>
    </row>
    <row r="91" spans="1:3" ht="12.75">
      <c r="A91" s="1">
        <f>DATE(1938,4,1)</f>
        <v>13971</v>
      </c>
      <c r="B91">
        <v>1938</v>
      </c>
      <c r="C91">
        <v>4</v>
      </c>
    </row>
    <row r="92" spans="1:3" ht="12.75">
      <c r="A92" s="1">
        <f>DATE(1938,5,1)</f>
        <v>14001</v>
      </c>
      <c r="B92">
        <v>1938</v>
      </c>
      <c r="C92">
        <v>5</v>
      </c>
    </row>
    <row r="93" spans="1:3" ht="12.75">
      <c r="A93" s="1">
        <f>DATE(1938,6,1)</f>
        <v>14032</v>
      </c>
      <c r="B93">
        <v>1938</v>
      </c>
      <c r="C93">
        <v>6</v>
      </c>
    </row>
    <row r="94" spans="1:3" ht="12.75">
      <c r="A94" s="1">
        <f>DATE(1938,7,1)</f>
        <v>14062</v>
      </c>
      <c r="B94">
        <v>1938</v>
      </c>
      <c r="C94">
        <v>7</v>
      </c>
    </row>
    <row r="95" spans="1:3" ht="12.75">
      <c r="A95" s="1">
        <f>DATE(1938,8,1)</f>
        <v>14093</v>
      </c>
      <c r="B95">
        <v>1938</v>
      </c>
      <c r="C95">
        <v>8</v>
      </c>
    </row>
    <row r="96" spans="1:3" ht="12.75">
      <c r="A96" s="1">
        <f>DATE(1938,9,1)</f>
        <v>14124</v>
      </c>
      <c r="B96">
        <v>1938</v>
      </c>
      <c r="C96">
        <v>9</v>
      </c>
    </row>
    <row r="97" spans="1:3" ht="12.75">
      <c r="A97" s="1">
        <f>DATE(1938,10,1)</f>
        <v>14154</v>
      </c>
      <c r="B97">
        <v>1938</v>
      </c>
      <c r="C97">
        <v>10</v>
      </c>
    </row>
    <row r="98" spans="1:3" ht="12.75">
      <c r="A98" s="1">
        <f>DATE(1938,11,1)</f>
        <v>14185</v>
      </c>
      <c r="B98">
        <v>1938</v>
      </c>
      <c r="C98">
        <v>11</v>
      </c>
    </row>
    <row r="99" spans="1:3" ht="12.75">
      <c r="A99" s="1">
        <f>DATE(1938,12,1)</f>
        <v>14215</v>
      </c>
      <c r="B99">
        <v>1938</v>
      </c>
      <c r="C99">
        <v>12</v>
      </c>
    </row>
    <row r="100" spans="1:3" ht="12.75">
      <c r="A100" s="1">
        <f>DATE(1939,1,1)</f>
        <v>14246</v>
      </c>
      <c r="B100">
        <v>1939</v>
      </c>
      <c r="C100">
        <v>1</v>
      </c>
    </row>
    <row r="101" spans="1:3" ht="12.75">
      <c r="A101" s="1">
        <f>DATE(1939,2,1)</f>
        <v>14277</v>
      </c>
      <c r="B101">
        <v>1939</v>
      </c>
      <c r="C101">
        <v>2</v>
      </c>
    </row>
    <row r="102" spans="1:3" ht="12.75">
      <c r="A102" s="1">
        <f>DATE(1939,3,1)</f>
        <v>14305</v>
      </c>
      <c r="B102">
        <v>1939</v>
      </c>
      <c r="C102">
        <v>3</v>
      </c>
    </row>
    <row r="103" spans="1:3" ht="12.75">
      <c r="A103" s="1">
        <f>DATE(1939,4,1)</f>
        <v>14336</v>
      </c>
      <c r="B103">
        <v>1939</v>
      </c>
      <c r="C103">
        <v>4</v>
      </c>
    </row>
    <row r="104" spans="1:3" ht="12.75">
      <c r="A104" s="1">
        <f>DATE(1939,5,1)</f>
        <v>14366</v>
      </c>
      <c r="B104">
        <v>1939</v>
      </c>
      <c r="C104">
        <v>5</v>
      </c>
    </row>
    <row r="105" spans="1:3" ht="12.75">
      <c r="A105" s="1">
        <f>DATE(1939,6,1)</f>
        <v>14397</v>
      </c>
      <c r="B105">
        <v>1939</v>
      </c>
      <c r="C105">
        <v>6</v>
      </c>
    </row>
    <row r="106" spans="1:3" ht="12.75">
      <c r="A106" s="1">
        <f>DATE(1939,7,1)</f>
        <v>14427</v>
      </c>
      <c r="B106">
        <v>1939</v>
      </c>
      <c r="C106">
        <v>7</v>
      </c>
    </row>
    <row r="107" spans="1:3" ht="12.75">
      <c r="A107" s="1">
        <f>DATE(1939,8,1)</f>
        <v>14458</v>
      </c>
      <c r="B107">
        <v>1939</v>
      </c>
      <c r="C107">
        <v>8</v>
      </c>
    </row>
    <row r="108" spans="1:3" ht="12.75">
      <c r="A108" s="1">
        <f>DATE(1939,9,1)</f>
        <v>14489</v>
      </c>
      <c r="B108">
        <v>1939</v>
      </c>
      <c r="C108">
        <v>9</v>
      </c>
    </row>
    <row r="109" spans="1:3" ht="12.75">
      <c r="A109" s="1">
        <f>DATE(1939,10,1)</f>
        <v>14519</v>
      </c>
      <c r="B109">
        <v>1939</v>
      </c>
      <c r="C109">
        <v>10</v>
      </c>
    </row>
    <row r="110" spans="1:3" ht="12.75">
      <c r="A110" s="1">
        <f>DATE(1939,11,1)</f>
        <v>14550</v>
      </c>
      <c r="B110">
        <v>1939</v>
      </c>
      <c r="C110">
        <v>11</v>
      </c>
    </row>
    <row r="111" spans="1:3" ht="12.75">
      <c r="A111" s="1">
        <f>DATE(1939,12,1)</f>
        <v>14580</v>
      </c>
      <c r="B111">
        <v>1939</v>
      </c>
      <c r="C111">
        <v>12</v>
      </c>
    </row>
    <row r="112" spans="1:3" ht="12.75">
      <c r="A112" s="1">
        <f>DATE(1940,1,1)</f>
        <v>14611</v>
      </c>
      <c r="B112">
        <v>1940</v>
      </c>
      <c r="C112">
        <v>1</v>
      </c>
    </row>
    <row r="113" spans="1:3" ht="12.75">
      <c r="A113" s="1">
        <f>DATE(1940,2,1)</f>
        <v>14642</v>
      </c>
      <c r="B113">
        <v>1940</v>
      </c>
      <c r="C113">
        <v>2</v>
      </c>
    </row>
    <row r="114" spans="1:3" ht="12.75">
      <c r="A114" s="1">
        <f>DATE(1940,3,1)</f>
        <v>14671</v>
      </c>
      <c r="B114">
        <v>1940</v>
      </c>
      <c r="C114">
        <v>3</v>
      </c>
    </row>
    <row r="115" spans="1:3" ht="12.75">
      <c r="A115" s="1">
        <f>DATE(1940,4,1)</f>
        <v>14702</v>
      </c>
      <c r="B115">
        <v>1940</v>
      </c>
      <c r="C115">
        <v>4</v>
      </c>
    </row>
    <row r="116" spans="1:3" ht="12.75">
      <c r="A116" s="1">
        <f>DATE(1940,5,1)</f>
        <v>14732</v>
      </c>
      <c r="B116">
        <v>1940</v>
      </c>
      <c r="C116">
        <v>5</v>
      </c>
    </row>
    <row r="117" spans="1:3" ht="12.75">
      <c r="A117" s="1">
        <f>DATE(1940,6,1)</f>
        <v>14763</v>
      </c>
      <c r="B117">
        <v>1940</v>
      </c>
      <c r="C117">
        <v>6</v>
      </c>
    </row>
    <row r="118" spans="1:3" ht="12.75">
      <c r="A118" s="1">
        <f>DATE(1940,7,1)</f>
        <v>14793</v>
      </c>
      <c r="B118">
        <v>1940</v>
      </c>
      <c r="C118">
        <v>7</v>
      </c>
    </row>
    <row r="119" spans="1:3" ht="12.75">
      <c r="A119" s="1">
        <f>DATE(1940,8,1)</f>
        <v>14824</v>
      </c>
      <c r="B119">
        <v>1940</v>
      </c>
      <c r="C119">
        <v>8</v>
      </c>
    </row>
    <row r="120" spans="1:19" ht="12.75">
      <c r="A120" s="1">
        <f>DATE(1940,9,1)</f>
        <v>14855</v>
      </c>
      <c r="B120">
        <v>1940</v>
      </c>
      <c r="C120">
        <v>9</v>
      </c>
      <c r="S120" t="s">
        <v>2</v>
      </c>
    </row>
    <row r="121" spans="1:19" ht="12.75">
      <c r="A121" s="1">
        <f>DATE(1940,10,1)</f>
        <v>14885</v>
      </c>
      <c r="B121">
        <v>1940</v>
      </c>
      <c r="C121">
        <v>10</v>
      </c>
      <c r="S121" t="s">
        <v>3</v>
      </c>
    </row>
    <row r="122" spans="1:19" ht="12.75">
      <c r="A122" s="1">
        <f>DATE(1940,11,1)</f>
        <v>14916</v>
      </c>
      <c r="B122">
        <v>1940</v>
      </c>
      <c r="C122">
        <v>11</v>
      </c>
      <c r="Q122" t="s">
        <v>2</v>
      </c>
      <c r="R122" t="s">
        <v>4</v>
      </c>
      <c r="S122" t="s">
        <v>8</v>
      </c>
    </row>
    <row r="123" spans="1:19" ht="12.75">
      <c r="A123" s="1">
        <f>DATE(1940,12,1)</f>
        <v>14946</v>
      </c>
      <c r="B123">
        <v>1940</v>
      </c>
      <c r="C123">
        <v>12</v>
      </c>
      <c r="Q123" t="s">
        <v>3</v>
      </c>
      <c r="R123" t="s">
        <v>5</v>
      </c>
      <c r="S123" t="s">
        <v>7</v>
      </c>
    </row>
    <row r="124" spans="1:3" ht="12.75">
      <c r="A124" s="1">
        <f>DATE(1941,1,1)</f>
        <v>14977</v>
      </c>
      <c r="B124">
        <v>1941</v>
      </c>
      <c r="C124">
        <v>1</v>
      </c>
    </row>
    <row r="125" spans="1:17" ht="12.75">
      <c r="A125" s="1">
        <f>DATE(1941,2,1)</f>
        <v>15008</v>
      </c>
      <c r="B125">
        <v>1941</v>
      </c>
      <c r="C125">
        <v>2</v>
      </c>
      <c r="D125">
        <v>0.03</v>
      </c>
      <c r="Q125">
        <v>0.9887295625036658</v>
      </c>
    </row>
    <row r="126" spans="1:19" ht="12.75">
      <c r="A126" s="1">
        <f>DATE(1941,3,1)</f>
        <v>15036</v>
      </c>
      <c r="B126">
        <v>1941</v>
      </c>
      <c r="C126">
        <v>3</v>
      </c>
      <c r="D126">
        <v>0.09</v>
      </c>
      <c r="Q126">
        <v>0.9721607255200203</v>
      </c>
      <c r="R126">
        <f>D126-D125</f>
        <v>0.06</v>
      </c>
      <c r="S126">
        <v>0.27231832102776415</v>
      </c>
    </row>
    <row r="127" spans="1:19" ht="12.75">
      <c r="A127" s="1">
        <f>DATE(1941,4,1)</f>
        <v>15067</v>
      </c>
      <c r="B127">
        <v>1941</v>
      </c>
      <c r="C127">
        <v>4</v>
      </c>
      <c r="D127">
        <v>0.09</v>
      </c>
      <c r="Q127">
        <v>0.9576717662368379</v>
      </c>
      <c r="R127">
        <f aca="true" t="shared" si="0" ref="R127:R190">D127-D126</f>
        <v>0</v>
      </c>
      <c r="S127">
        <v>-0.104984304331143</v>
      </c>
    </row>
    <row r="128" spans="1:19" ht="12.75">
      <c r="A128" s="1">
        <f>DATE(1941,5,1)</f>
        <v>15097</v>
      </c>
      <c r="B128">
        <v>1941</v>
      </c>
      <c r="C128">
        <v>5</v>
      </c>
      <c r="D128">
        <v>0.08</v>
      </c>
      <c r="Q128">
        <v>0.9448796207004606</v>
      </c>
      <c r="R128">
        <f t="shared" si="0"/>
        <v>-0.009999999999999995</v>
      </c>
      <c r="S128">
        <v>-0.08831198866025342</v>
      </c>
    </row>
    <row r="129" spans="1:19" ht="12.75">
      <c r="A129" s="1">
        <f>DATE(1941,6,1)</f>
        <v>15128</v>
      </c>
      <c r="B129">
        <v>1941</v>
      </c>
      <c r="C129">
        <v>6</v>
      </c>
      <c r="D129">
        <v>0.09</v>
      </c>
      <c r="Q129">
        <v>0.9328072181807874</v>
      </c>
      <c r="R129">
        <f t="shared" si="0"/>
        <v>0.009999999999999995</v>
      </c>
      <c r="S129">
        <v>-0.03564379876614026</v>
      </c>
    </row>
    <row r="130" spans="1:19" ht="12.75">
      <c r="A130" s="1">
        <f>DATE(1941,7,1)</f>
        <v>15158</v>
      </c>
      <c r="B130">
        <v>1941</v>
      </c>
      <c r="C130">
        <v>7</v>
      </c>
      <c r="D130">
        <v>0.1</v>
      </c>
      <c r="Q130">
        <v>0.9199189593928296</v>
      </c>
      <c r="R130">
        <f t="shared" si="0"/>
        <v>0.010000000000000009</v>
      </c>
      <c r="S130">
        <v>0.04400461631488084</v>
      </c>
    </row>
    <row r="131" spans="1:19" ht="12.75">
      <c r="A131" s="1">
        <f>DATE(1941,8,1)</f>
        <v>15189</v>
      </c>
      <c r="B131">
        <v>1941</v>
      </c>
      <c r="C131">
        <v>8</v>
      </c>
      <c r="D131">
        <v>0.11</v>
      </c>
      <c r="Q131">
        <v>0.9105915226850266</v>
      </c>
      <c r="R131">
        <f t="shared" si="0"/>
        <v>0.009999999999999995</v>
      </c>
      <c r="S131">
        <v>-0.1819936350503437</v>
      </c>
    </row>
    <row r="132" spans="1:19" ht="12.75">
      <c r="A132" s="1">
        <f>DATE(1941,9,1)</f>
        <v>15220</v>
      </c>
      <c r="B132">
        <v>1941</v>
      </c>
      <c r="C132">
        <v>9</v>
      </c>
      <c r="D132">
        <v>0.05</v>
      </c>
      <c r="Q132">
        <v>0.9050925178609033</v>
      </c>
      <c r="R132">
        <f t="shared" si="0"/>
        <v>-0.06</v>
      </c>
      <c r="S132">
        <v>-0.19759061274498393</v>
      </c>
    </row>
    <row r="133" spans="1:19" ht="12.75">
      <c r="A133" s="1">
        <f>DATE(1941,10,1)</f>
        <v>15250</v>
      </c>
      <c r="B133">
        <v>1941</v>
      </c>
      <c r="C133">
        <v>10</v>
      </c>
      <c r="D133">
        <v>0.05</v>
      </c>
      <c r="Q133">
        <v>0.8978237072295073</v>
      </c>
      <c r="R133">
        <f t="shared" si="0"/>
        <v>0</v>
      </c>
      <c r="S133">
        <v>0.09236812731793087</v>
      </c>
    </row>
    <row r="134" spans="1:19" ht="12.75">
      <c r="A134" s="1">
        <f>DATE(1941,11,1)</f>
        <v>15281</v>
      </c>
      <c r="B134">
        <v>1941</v>
      </c>
      <c r="C134">
        <v>11</v>
      </c>
      <c r="D134">
        <v>0.24</v>
      </c>
      <c r="Q134">
        <v>0.8869378418456174</v>
      </c>
      <c r="R134">
        <f t="shared" si="0"/>
        <v>0.19</v>
      </c>
      <c r="S134">
        <v>0.193198408518209</v>
      </c>
    </row>
    <row r="135" spans="1:19" ht="12.75">
      <c r="A135" s="1">
        <f>DATE(1941,12,1)</f>
        <v>15311</v>
      </c>
      <c r="B135">
        <v>1941</v>
      </c>
      <c r="C135">
        <v>12</v>
      </c>
      <c r="D135">
        <v>0.3</v>
      </c>
      <c r="Q135">
        <v>0.8748816251293335</v>
      </c>
      <c r="R135">
        <f t="shared" si="0"/>
        <v>0.06</v>
      </c>
      <c r="S135">
        <v>0.061581837717900545</v>
      </c>
    </row>
    <row r="136" spans="1:19" ht="12.75">
      <c r="A136" s="1">
        <f>DATE(1942,1,1)</f>
        <v>15342</v>
      </c>
      <c r="B136">
        <v>1942</v>
      </c>
      <c r="C136">
        <v>1</v>
      </c>
      <c r="D136">
        <v>0.21</v>
      </c>
      <c r="Q136">
        <v>0.8629558629115434</v>
      </c>
      <c r="R136">
        <f t="shared" si="0"/>
        <v>-0.09</v>
      </c>
      <c r="S136">
        <v>-0.00848848624817614</v>
      </c>
    </row>
    <row r="137" spans="1:19" ht="12.75">
      <c r="A137" s="1">
        <f>DATE(1942,2,1)</f>
        <v>15373</v>
      </c>
      <c r="B137">
        <v>1942</v>
      </c>
      <c r="C137">
        <v>2</v>
      </c>
      <c r="D137">
        <v>0.25</v>
      </c>
      <c r="Q137">
        <v>0.8528801068758058</v>
      </c>
      <c r="R137">
        <f t="shared" si="0"/>
        <v>0.04000000000000001</v>
      </c>
      <c r="S137">
        <v>-0.0939364543780611</v>
      </c>
    </row>
    <row r="138" spans="1:19" ht="12.75">
      <c r="A138" s="1">
        <f>DATE(1942,3,1)</f>
        <v>15401</v>
      </c>
      <c r="B138">
        <v>1942</v>
      </c>
      <c r="C138">
        <v>3</v>
      </c>
      <c r="D138">
        <v>0.21</v>
      </c>
      <c r="Q138">
        <v>0.8421184939332776</v>
      </c>
      <c r="R138">
        <f t="shared" si="0"/>
        <v>-0.04000000000000001</v>
      </c>
      <c r="S138">
        <v>0.034393491546663504</v>
      </c>
    </row>
    <row r="139" spans="1:19" ht="12.75">
      <c r="A139" s="1">
        <f>DATE(1942,4,1)</f>
        <v>15432</v>
      </c>
      <c r="B139">
        <v>1942</v>
      </c>
      <c r="C139">
        <v>4</v>
      </c>
      <c r="D139">
        <v>0.3</v>
      </c>
      <c r="Q139">
        <v>0.8284318627974654</v>
      </c>
      <c r="R139">
        <f t="shared" si="0"/>
        <v>0.09</v>
      </c>
      <c r="S139">
        <v>0.15509511607909565</v>
      </c>
    </row>
    <row r="140" spans="1:19" ht="12.75">
      <c r="A140" s="1">
        <f>DATE(1942,5,1)</f>
        <v>15462</v>
      </c>
      <c r="B140">
        <v>1942</v>
      </c>
      <c r="C140">
        <v>5</v>
      </c>
      <c r="D140">
        <v>0.36</v>
      </c>
      <c r="Q140">
        <v>0.8166860321791047</v>
      </c>
      <c r="R140">
        <f t="shared" si="0"/>
        <v>0.06</v>
      </c>
      <c r="S140">
        <v>-0.09981295697986789</v>
      </c>
    </row>
    <row r="141" spans="1:19" ht="12.75">
      <c r="A141" s="1">
        <f>DATE(1942,6,1)</f>
        <v>15493</v>
      </c>
      <c r="B141">
        <v>1942</v>
      </c>
      <c r="C141">
        <v>6</v>
      </c>
      <c r="D141">
        <v>0.36</v>
      </c>
      <c r="Q141">
        <v>0.8048386349447109</v>
      </c>
      <c r="R141">
        <f t="shared" si="0"/>
        <v>0</v>
      </c>
      <c r="S141">
        <v>0.005240783278765331</v>
      </c>
    </row>
    <row r="142" spans="1:19" ht="12.75">
      <c r="A142" s="1">
        <f>DATE(1942,7,1)</f>
        <v>15523</v>
      </c>
      <c r="B142">
        <v>1942</v>
      </c>
      <c r="C142">
        <v>7</v>
      </c>
      <c r="D142">
        <v>0.37</v>
      </c>
      <c r="Q142">
        <v>0.7914471977716736</v>
      </c>
      <c r="R142">
        <f t="shared" si="0"/>
        <v>0.010000000000000009</v>
      </c>
      <c r="S142">
        <v>0.08042413390508239</v>
      </c>
    </row>
    <row r="143" spans="1:19" ht="12.75">
      <c r="A143" s="1">
        <f>DATE(1942,8,1)</f>
        <v>15554</v>
      </c>
      <c r="B143">
        <v>1942</v>
      </c>
      <c r="C143">
        <v>8</v>
      </c>
      <c r="D143">
        <v>0.37</v>
      </c>
      <c r="Q143">
        <v>0.776497059694239</v>
      </c>
      <c r="R143">
        <f t="shared" si="0"/>
        <v>0</v>
      </c>
      <c r="S143">
        <v>0.0791454597180828</v>
      </c>
    </row>
    <row r="144" spans="1:19" ht="12.75">
      <c r="A144" s="1">
        <f>DATE(1942,9,1)</f>
        <v>15585</v>
      </c>
      <c r="B144">
        <v>1942</v>
      </c>
      <c r="C144">
        <v>9</v>
      </c>
      <c r="D144">
        <v>0.37</v>
      </c>
      <c r="Q144">
        <v>0.7621100907615714</v>
      </c>
      <c r="R144">
        <f t="shared" si="0"/>
        <v>0</v>
      </c>
      <c r="S144">
        <v>-0.02936949215233978</v>
      </c>
    </row>
    <row r="145" spans="1:19" ht="12.75">
      <c r="A145" s="1">
        <f>DATE(1942,10,1)</f>
        <v>15615</v>
      </c>
      <c r="B145">
        <v>1942</v>
      </c>
      <c r="C145">
        <v>10</v>
      </c>
      <c r="D145">
        <v>0.37</v>
      </c>
      <c r="Q145">
        <v>0.7523649677068973</v>
      </c>
      <c r="R145">
        <f t="shared" si="0"/>
        <v>0</v>
      </c>
      <c r="S145">
        <v>-0.2355674222430184</v>
      </c>
    </row>
    <row r="146" spans="1:19" ht="12.75">
      <c r="A146" s="1">
        <f>DATE(1942,11,1)</f>
        <v>15646</v>
      </c>
      <c r="B146">
        <v>1942</v>
      </c>
      <c r="C146">
        <v>11</v>
      </c>
      <c r="D146">
        <v>0.37</v>
      </c>
      <c r="Q146">
        <v>0.7455784430502038</v>
      </c>
      <c r="R146">
        <f t="shared" si="0"/>
        <v>0</v>
      </c>
      <c r="S146">
        <v>-0.15821979531390543</v>
      </c>
    </row>
    <row r="147" spans="1:19" ht="12.75">
      <c r="A147" s="1">
        <f>DATE(1942,12,1)</f>
        <v>15676</v>
      </c>
      <c r="B147">
        <v>1942</v>
      </c>
      <c r="C147">
        <v>12</v>
      </c>
      <c r="D147">
        <v>0.36</v>
      </c>
      <c r="Q147">
        <v>0.7389905980342981</v>
      </c>
      <c r="R147">
        <f t="shared" si="0"/>
        <v>-0.010000000000000009</v>
      </c>
      <c r="S147">
        <v>-0.012606067457158787</v>
      </c>
    </row>
    <row r="148" spans="1:19" ht="12.75">
      <c r="A148" s="1">
        <f>DATE(1943,1,1)</f>
        <v>15707</v>
      </c>
      <c r="B148">
        <v>1943</v>
      </c>
      <c r="C148">
        <v>1</v>
      </c>
      <c r="D148">
        <v>0.37</v>
      </c>
      <c r="Q148">
        <v>0.7326592003639975</v>
      </c>
      <c r="R148">
        <f t="shared" si="0"/>
        <v>0.010000000000000009</v>
      </c>
      <c r="S148">
        <v>-0.013310407610943776</v>
      </c>
    </row>
    <row r="149" spans="1:19" ht="12.75">
      <c r="A149" s="1">
        <f>DATE(1943,2,1)</f>
        <v>15738</v>
      </c>
      <c r="B149">
        <v>1943</v>
      </c>
      <c r="C149">
        <v>2</v>
      </c>
      <c r="D149">
        <v>0.37</v>
      </c>
      <c r="Q149">
        <v>0.7268489185601001</v>
      </c>
      <c r="R149">
        <f t="shared" si="0"/>
        <v>0</v>
      </c>
      <c r="S149">
        <v>-0.027332253245037266</v>
      </c>
    </row>
    <row r="150" spans="1:19" ht="12.75">
      <c r="A150" s="1">
        <f>DATE(1943,3,1)</f>
        <v>15766</v>
      </c>
      <c r="B150">
        <v>1943</v>
      </c>
      <c r="C150">
        <v>3</v>
      </c>
      <c r="D150">
        <v>0.37</v>
      </c>
      <c r="Q150">
        <v>0.7212301856313321</v>
      </c>
      <c r="R150">
        <f t="shared" si="0"/>
        <v>0</v>
      </c>
      <c r="S150">
        <v>-0.010486964928943646</v>
      </c>
    </row>
    <row r="151" spans="1:19" ht="12.75">
      <c r="A151" s="1">
        <f>DATE(1943,4,1)</f>
        <v>15797</v>
      </c>
      <c r="B151">
        <v>1943</v>
      </c>
      <c r="C151">
        <v>4</v>
      </c>
      <c r="D151">
        <v>0.37</v>
      </c>
      <c r="Q151">
        <v>0.714392562733686</v>
      </c>
      <c r="R151">
        <f t="shared" si="0"/>
        <v>0</v>
      </c>
      <c r="S151">
        <v>0.0626273150942676</v>
      </c>
    </row>
    <row r="152" spans="1:19" ht="12.75">
      <c r="A152" s="1">
        <f>DATE(1943,5,1)</f>
        <v>15827</v>
      </c>
      <c r="B152">
        <v>1943</v>
      </c>
      <c r="C152">
        <v>5</v>
      </c>
      <c r="D152">
        <v>0.37</v>
      </c>
      <c r="Q152">
        <v>0.7050156250039761</v>
      </c>
      <c r="R152">
        <f t="shared" si="0"/>
        <v>0</v>
      </c>
      <c r="S152">
        <v>0.12994951170135433</v>
      </c>
    </row>
    <row r="153" spans="1:19" ht="12.75">
      <c r="A153" s="1">
        <f>DATE(1943,6,1)</f>
        <v>15858</v>
      </c>
      <c r="B153">
        <v>1943</v>
      </c>
      <c r="C153">
        <v>6</v>
      </c>
      <c r="D153">
        <v>0.37</v>
      </c>
      <c r="Q153">
        <v>0.6944388095149376</v>
      </c>
      <c r="R153">
        <f t="shared" si="0"/>
        <v>0</v>
      </c>
      <c r="S153">
        <v>0.06065921158651186</v>
      </c>
    </row>
    <row r="154" spans="1:19" ht="12.75">
      <c r="A154" s="1">
        <f>DATE(1943,7,1)</f>
        <v>15888</v>
      </c>
      <c r="B154">
        <v>1943</v>
      </c>
      <c r="C154">
        <v>7</v>
      </c>
      <c r="D154">
        <v>0.37</v>
      </c>
      <c r="Q154">
        <v>0.6850235088613397</v>
      </c>
      <c r="R154">
        <f t="shared" si="0"/>
        <v>0</v>
      </c>
      <c r="S154">
        <v>-0.05980556238803121</v>
      </c>
    </row>
    <row r="155" spans="1:19" ht="12.75">
      <c r="A155" s="1">
        <f>DATE(1943,8,1)</f>
        <v>15919</v>
      </c>
      <c r="B155">
        <v>1943</v>
      </c>
      <c r="C155">
        <v>8</v>
      </c>
      <c r="D155">
        <v>0.38</v>
      </c>
      <c r="Q155">
        <v>0.67656520961659</v>
      </c>
      <c r="R155">
        <f t="shared" si="0"/>
        <v>0.010000000000000009</v>
      </c>
      <c r="S155">
        <v>-0.04977569528998722</v>
      </c>
    </row>
    <row r="156" spans="1:19" ht="12.75">
      <c r="A156" s="1">
        <f>DATE(1943,9,1)</f>
        <v>15950</v>
      </c>
      <c r="B156">
        <v>1943</v>
      </c>
      <c r="C156">
        <v>9</v>
      </c>
      <c r="D156">
        <v>0.38</v>
      </c>
      <c r="Q156">
        <v>0.669333670362347</v>
      </c>
      <c r="R156">
        <f t="shared" si="0"/>
        <v>0</v>
      </c>
      <c r="S156">
        <v>-0.0632520151295579</v>
      </c>
    </row>
    <row r="157" spans="1:19" ht="12.75">
      <c r="A157" s="1">
        <f>DATE(1943,10,1)</f>
        <v>15980</v>
      </c>
      <c r="B157">
        <v>1943</v>
      </c>
      <c r="C157">
        <v>10</v>
      </c>
      <c r="D157">
        <v>0.38</v>
      </c>
      <c r="Q157">
        <v>0.6625554400802371</v>
      </c>
      <c r="R157">
        <f t="shared" si="0"/>
        <v>0</v>
      </c>
      <c r="S157">
        <v>-0.02179161726016433</v>
      </c>
    </row>
    <row r="158" spans="1:19" ht="12.75">
      <c r="A158" s="1">
        <f>DATE(1943,11,1)</f>
        <v>16011</v>
      </c>
      <c r="B158">
        <v>1943</v>
      </c>
      <c r="C158">
        <v>11</v>
      </c>
      <c r="D158">
        <v>0.38</v>
      </c>
      <c r="Q158">
        <v>0.6567578371327161</v>
      </c>
      <c r="R158">
        <f t="shared" si="0"/>
        <v>0</v>
      </c>
      <c r="S158">
        <v>-0.05086110040290815</v>
      </c>
    </row>
    <row r="159" spans="1:19" ht="12.75">
      <c r="A159" s="1">
        <f>DATE(1943,12,1)</f>
        <v>16041</v>
      </c>
      <c r="B159">
        <v>1943</v>
      </c>
      <c r="C159">
        <v>12</v>
      </c>
      <c r="D159">
        <v>0.38</v>
      </c>
      <c r="Q159">
        <v>0.652060914024006</v>
      </c>
      <c r="R159">
        <f t="shared" si="0"/>
        <v>0</v>
      </c>
      <c r="S159">
        <v>-0.05829271412946865</v>
      </c>
    </row>
    <row r="160" spans="1:19" ht="12.75">
      <c r="A160" s="1">
        <f>DATE(1944,1,1)</f>
        <v>16072</v>
      </c>
      <c r="B160">
        <v>1944</v>
      </c>
      <c r="C160">
        <v>1</v>
      </c>
      <c r="D160">
        <v>0.37</v>
      </c>
      <c r="Q160">
        <v>0.6479166454037683</v>
      </c>
      <c r="R160">
        <f t="shared" si="0"/>
        <v>-0.010000000000000009</v>
      </c>
      <c r="S160">
        <v>-0.02848623092160303</v>
      </c>
    </row>
    <row r="161" spans="1:19" ht="12.75">
      <c r="A161" s="1">
        <f>DATE(1944,2,1)</f>
        <v>16103</v>
      </c>
      <c r="B161">
        <v>1944</v>
      </c>
      <c r="C161">
        <v>2</v>
      </c>
      <c r="D161">
        <v>0.38</v>
      </c>
      <c r="Q161">
        <v>0.6441777636978419</v>
      </c>
      <c r="R161">
        <f t="shared" si="0"/>
        <v>0.010000000000000009</v>
      </c>
      <c r="S161">
        <v>-0.019447947568037402</v>
      </c>
    </row>
    <row r="162" spans="1:19" ht="12.75">
      <c r="A162" s="1">
        <f>DATE(1944,3,1)</f>
        <v>16132</v>
      </c>
      <c r="B162">
        <v>1944</v>
      </c>
      <c r="C162">
        <v>3</v>
      </c>
      <c r="D162">
        <v>0.38</v>
      </c>
      <c r="Q162">
        <v>0.6403281610830523</v>
      </c>
      <c r="R162">
        <f t="shared" si="0"/>
        <v>0</v>
      </c>
      <c r="S162">
        <v>0.0035166154010651427</v>
      </c>
    </row>
    <row r="163" spans="1:19" ht="12.75">
      <c r="A163" s="1">
        <f>DATE(1944,4,1)</f>
        <v>16163</v>
      </c>
      <c r="B163">
        <v>1944</v>
      </c>
      <c r="C163">
        <v>4</v>
      </c>
      <c r="D163">
        <v>0.38</v>
      </c>
      <c r="Q163">
        <v>0.636198978599504</v>
      </c>
      <c r="R163">
        <f t="shared" si="0"/>
        <v>0</v>
      </c>
      <c r="S163">
        <v>0.013712144503136908</v>
      </c>
    </row>
    <row r="164" spans="1:19" ht="12.75">
      <c r="A164" s="1">
        <f>DATE(1944,5,1)</f>
        <v>16193</v>
      </c>
      <c r="B164">
        <v>1944</v>
      </c>
      <c r="C164">
        <v>5</v>
      </c>
      <c r="D164">
        <v>0.38</v>
      </c>
      <c r="Q164">
        <v>0.6322995132353265</v>
      </c>
      <c r="R164">
        <f t="shared" si="0"/>
        <v>0</v>
      </c>
      <c r="S164">
        <v>-0.011835064533406253</v>
      </c>
    </row>
    <row r="165" spans="1:19" ht="12.75">
      <c r="A165" s="1">
        <f>DATE(1944,6,1)</f>
        <v>16224</v>
      </c>
      <c r="B165">
        <v>1944</v>
      </c>
      <c r="C165">
        <v>6</v>
      </c>
      <c r="D165">
        <v>0.38</v>
      </c>
      <c r="Q165">
        <v>0.6282482027116539</v>
      </c>
      <c r="R165">
        <f t="shared" si="0"/>
        <v>0</v>
      </c>
      <c r="S165">
        <v>0.008766018455374442</v>
      </c>
    </row>
    <row r="166" spans="1:19" ht="12.75">
      <c r="A166" s="1">
        <f>DATE(1944,7,1)</f>
        <v>16254</v>
      </c>
      <c r="B166">
        <v>1944</v>
      </c>
      <c r="C166">
        <v>7</v>
      </c>
      <c r="D166">
        <v>0.38</v>
      </c>
      <c r="Q166">
        <v>0.6239274217553498</v>
      </c>
      <c r="R166">
        <f t="shared" si="0"/>
        <v>0</v>
      </c>
      <c r="S166">
        <v>0.013108793006986079</v>
      </c>
    </row>
    <row r="167" spans="1:19" ht="12.75">
      <c r="A167" s="1">
        <f>DATE(1944,8,1)</f>
        <v>16285</v>
      </c>
      <c r="B167">
        <v>1944</v>
      </c>
      <c r="C167">
        <v>8</v>
      </c>
      <c r="D167">
        <v>0.38</v>
      </c>
      <c r="I167">
        <v>0.997506234413965</v>
      </c>
      <c r="J167" s="2">
        <v>399.9975124532807</v>
      </c>
      <c r="L167" s="2" t="s">
        <v>2</v>
      </c>
      <c r="Q167">
        <v>0.6195966215603662</v>
      </c>
      <c r="R167">
        <f t="shared" si="0"/>
        <v>0</v>
      </c>
      <c r="S167">
        <v>0.0018414809425215315</v>
      </c>
    </row>
    <row r="168" spans="1:19" ht="12.75">
      <c r="A168" s="1">
        <f>DATE(1944,9,1)</f>
        <v>16316</v>
      </c>
      <c r="B168">
        <v>1944</v>
      </c>
      <c r="C168">
        <v>9</v>
      </c>
      <c r="D168">
        <v>0.38</v>
      </c>
      <c r="I168">
        <v>0.99501246882793</v>
      </c>
      <c r="J168" s="2">
        <v>797.9975373287477</v>
      </c>
      <c r="L168" s="2" t="s">
        <v>6</v>
      </c>
      <c r="Q168">
        <v>0.6149949077336797</v>
      </c>
      <c r="R168">
        <f t="shared" si="0"/>
        <v>0</v>
      </c>
      <c r="S168">
        <v>0.012199581454528208</v>
      </c>
    </row>
    <row r="169" spans="1:19" ht="12.75">
      <c r="A169" s="1">
        <f>DATE(1944,10,1)</f>
        <v>16346</v>
      </c>
      <c r="B169">
        <v>1944</v>
      </c>
      <c r="C169">
        <v>10</v>
      </c>
      <c r="D169">
        <v>0.38</v>
      </c>
      <c r="F169" s="2" t="s">
        <v>2</v>
      </c>
      <c r="I169">
        <v>0.9925187032418951</v>
      </c>
      <c r="J169" s="2">
        <v>1194.005074595307</v>
      </c>
      <c r="K169" t="s">
        <v>4</v>
      </c>
      <c r="L169" s="2" t="s">
        <v>8</v>
      </c>
      <c r="Q169">
        <v>0.6103715383196702</v>
      </c>
      <c r="R169">
        <f t="shared" si="0"/>
        <v>0</v>
      </c>
      <c r="S169">
        <v>0.0009996505019396777</v>
      </c>
    </row>
    <row r="170" spans="1:19" ht="12.75">
      <c r="A170" s="1">
        <f>DATE(1944,11,1)</f>
        <v>16377</v>
      </c>
      <c r="B170">
        <v>1944</v>
      </c>
      <c r="C170">
        <v>11</v>
      </c>
      <c r="D170">
        <v>0.38</v>
      </c>
      <c r="F170" s="2" t="s">
        <v>6</v>
      </c>
      <c r="I170">
        <v>0.9900249376558601</v>
      </c>
      <c r="J170" s="2">
        <v>1588.0251242218637</v>
      </c>
      <c r="K170" t="s">
        <v>7</v>
      </c>
      <c r="L170" s="2" t="s">
        <v>7</v>
      </c>
      <c r="Q170">
        <v>0.6055747616880683</v>
      </c>
      <c r="R170">
        <f t="shared" si="0"/>
        <v>0</v>
      </c>
      <c r="S170">
        <v>0.0073592718039163915</v>
      </c>
    </row>
    <row r="171" spans="1:19" ht="12.75">
      <c r="A171" s="1">
        <f>DATE(1944,12,1)</f>
        <v>16407</v>
      </c>
      <c r="B171">
        <v>1944</v>
      </c>
      <c r="C171">
        <v>12</v>
      </c>
      <c r="D171">
        <v>0.38</v>
      </c>
      <c r="I171">
        <v>0.9875311720698251</v>
      </c>
      <c r="J171" s="2">
        <v>1980.062686177324</v>
      </c>
      <c r="Q171">
        <v>0.6009548416231856</v>
      </c>
      <c r="R171">
        <f t="shared" si="0"/>
        <v>0</v>
      </c>
      <c r="S171">
        <v>-0.008850489584069246</v>
      </c>
    </row>
    <row r="172" spans="1:19" ht="12.75">
      <c r="A172" s="1">
        <f>DATE(1945,1,1)</f>
        <v>16438</v>
      </c>
      <c r="B172">
        <v>1945</v>
      </c>
      <c r="C172">
        <v>1</v>
      </c>
      <c r="D172">
        <v>0.38</v>
      </c>
      <c r="F172">
        <v>0.9865015275509459</v>
      </c>
      <c r="I172">
        <v>0.9850374064837901</v>
      </c>
      <c r="J172" s="2">
        <v>2370.122760430593</v>
      </c>
      <c r="Q172">
        <v>0.5981260285274026</v>
      </c>
      <c r="R172">
        <f t="shared" si="0"/>
        <v>0</v>
      </c>
      <c r="S172">
        <v>-0.09306911898104975</v>
      </c>
    </row>
    <row r="173" spans="1:19" ht="12.75">
      <c r="A173" s="1">
        <f>DATE(1945,2,1)</f>
        <v>16469</v>
      </c>
      <c r="B173">
        <v>1945</v>
      </c>
      <c r="C173">
        <v>2</v>
      </c>
      <c r="D173">
        <v>0.38</v>
      </c>
      <c r="F173">
        <v>0.9691098448363958</v>
      </c>
      <c r="I173">
        <v>0.9825436408977551</v>
      </c>
      <c r="J173" s="2">
        <v>2758.2103469505773</v>
      </c>
      <c r="K173">
        <f>D173-D172</f>
        <v>0</v>
      </c>
      <c r="L173" s="2">
        <v>0.2724558506042784</v>
      </c>
      <c r="Q173">
        <v>0.595847304968816</v>
      </c>
      <c r="R173">
        <f t="shared" si="0"/>
        <v>0</v>
      </c>
      <c r="S173">
        <v>-0.028034262847853417</v>
      </c>
    </row>
    <row r="174" spans="1:19" ht="12.75">
      <c r="A174" s="1">
        <f>DATE(1945,3,1)</f>
        <v>16497</v>
      </c>
      <c r="B174">
        <v>1945</v>
      </c>
      <c r="C174">
        <v>3</v>
      </c>
      <c r="D174">
        <v>0.38</v>
      </c>
      <c r="F174">
        <v>0.9504325542580093</v>
      </c>
      <c r="I174">
        <v>0.9800498753117202</v>
      </c>
      <c r="J174" s="2">
        <v>3144.3304457061818</v>
      </c>
      <c r="K174">
        <f aca="true" t="shared" si="1" ref="K174:K237">D174-D173</f>
        <v>0</v>
      </c>
      <c r="L174" s="2">
        <v>-0.10486114091158316</v>
      </c>
      <c r="Q174">
        <v>0.5944091710717061</v>
      </c>
      <c r="R174">
        <f t="shared" si="0"/>
        <v>0</v>
      </c>
      <c r="S174">
        <v>-0.04269094731187513</v>
      </c>
    </row>
    <row r="175" spans="1:19" ht="12.75">
      <c r="A175" s="1">
        <f>DATE(1945,4,1)</f>
        <v>16528</v>
      </c>
      <c r="B175">
        <v>1945</v>
      </c>
      <c r="C175">
        <v>4</v>
      </c>
      <c r="D175">
        <v>0.38</v>
      </c>
      <c r="F175">
        <v>0.9314311908860563</v>
      </c>
      <c r="I175">
        <v>0.9775561097256852</v>
      </c>
      <c r="J175" s="2">
        <v>3528.4880566663123</v>
      </c>
      <c r="K175">
        <f t="shared" si="1"/>
        <v>0</v>
      </c>
      <c r="L175" s="2">
        <v>-0.08832987108998157</v>
      </c>
      <c r="Q175">
        <v>0.5939894112933257</v>
      </c>
      <c r="R175">
        <f t="shared" si="0"/>
        <v>0</v>
      </c>
      <c r="S175">
        <v>-0.05236309903394104</v>
      </c>
    </row>
    <row r="176" spans="1:19" ht="12.75">
      <c r="A176" s="1">
        <f>DATE(1945,5,1)</f>
        <v>16558</v>
      </c>
      <c r="B176">
        <v>1945</v>
      </c>
      <c r="C176">
        <v>5</v>
      </c>
      <c r="D176">
        <v>0.38</v>
      </c>
      <c r="F176">
        <v>0.9110891887547875</v>
      </c>
      <c r="I176">
        <v>0.9750623441396502</v>
      </c>
      <c r="J176" s="2">
        <v>3910.6881797998744</v>
      </c>
      <c r="K176">
        <f t="shared" si="1"/>
        <v>0</v>
      </c>
      <c r="L176" s="2">
        <v>-0.03565419869960634</v>
      </c>
      <c r="Q176">
        <v>0.5932756646537869</v>
      </c>
      <c r="R176">
        <f t="shared" si="0"/>
        <v>0</v>
      </c>
      <c r="S176">
        <v>0.015084703013469532</v>
      </c>
    </row>
    <row r="177" spans="1:19" ht="12.75">
      <c r="A177" s="1">
        <f>DATE(1945,6,1)</f>
        <v>16589</v>
      </c>
      <c r="B177">
        <v>1945</v>
      </c>
      <c r="C177">
        <v>6</v>
      </c>
      <c r="D177">
        <v>0.38</v>
      </c>
      <c r="F177">
        <v>0.8918020017404111</v>
      </c>
      <c r="I177">
        <v>0.9725685785536152</v>
      </c>
      <c r="J177" s="2">
        <v>4290.9358150757735</v>
      </c>
      <c r="K177">
        <f t="shared" si="1"/>
        <v>0</v>
      </c>
      <c r="L177" s="2">
        <v>0.04389012855321242</v>
      </c>
      <c r="Q177">
        <v>0.5920150392149272</v>
      </c>
      <c r="R177">
        <f t="shared" si="0"/>
        <v>0</v>
      </c>
      <c r="S177">
        <v>0.02862296837433569</v>
      </c>
    </row>
    <row r="178" spans="1:19" ht="12.75">
      <c r="A178" s="1">
        <f>DATE(1945,7,1)</f>
        <v>16619</v>
      </c>
      <c r="B178">
        <v>1945</v>
      </c>
      <c r="C178">
        <v>7</v>
      </c>
      <c r="D178">
        <v>0.38</v>
      </c>
      <c r="F178">
        <v>0.8763722206363511</v>
      </c>
      <c r="I178">
        <v>0.9700748129675802</v>
      </c>
      <c r="J178" s="2">
        <v>4669.235962462916</v>
      </c>
      <c r="K178">
        <f t="shared" si="1"/>
        <v>0</v>
      </c>
      <c r="L178" s="2">
        <v>-0.18212651361019547</v>
      </c>
      <c r="Q178">
        <v>0.5897488311158798</v>
      </c>
      <c r="R178">
        <f t="shared" si="0"/>
        <v>0</v>
      </c>
      <c r="S178">
        <v>0.050041924210844954</v>
      </c>
    </row>
    <row r="179" spans="1:19" ht="12.75">
      <c r="A179" s="1">
        <f>DATE(1945,8,1)</f>
        <v>16650</v>
      </c>
      <c r="B179">
        <v>1945</v>
      </c>
      <c r="C179">
        <v>8</v>
      </c>
      <c r="D179">
        <v>0.38</v>
      </c>
      <c r="F179">
        <v>0.8632862662489639</v>
      </c>
      <c r="I179">
        <v>0.9675810473815453</v>
      </c>
      <c r="J179" s="2">
        <v>5045.5936219302075</v>
      </c>
      <c r="K179">
        <f t="shared" si="1"/>
        <v>0</v>
      </c>
      <c r="L179" s="2">
        <v>-0.19762166481307156</v>
      </c>
      <c r="Q179">
        <v>0.5858069097071203</v>
      </c>
      <c r="R179">
        <f t="shared" si="0"/>
        <v>0</v>
      </c>
      <c r="S179">
        <v>0.08456286638829817</v>
      </c>
    </row>
    <row r="180" spans="1:19" ht="12.75">
      <c r="A180" s="1">
        <f>DATE(1945,9,1)</f>
        <v>16681</v>
      </c>
      <c r="B180">
        <v>1945</v>
      </c>
      <c r="C180">
        <v>9</v>
      </c>
      <c r="D180">
        <v>0.38</v>
      </c>
      <c r="F180">
        <v>0.8499096622815047</v>
      </c>
      <c r="I180">
        <v>0.9650872817955103</v>
      </c>
      <c r="J180" s="2">
        <v>5420.013793446553</v>
      </c>
      <c r="K180">
        <f t="shared" si="1"/>
        <v>0</v>
      </c>
      <c r="L180" s="2">
        <v>0.09235107598610338</v>
      </c>
      <c r="Q180">
        <v>0.5810241974732316</v>
      </c>
      <c r="R180">
        <f t="shared" si="0"/>
        <v>0</v>
      </c>
      <c r="S180">
        <v>0.04119476815709282</v>
      </c>
    </row>
    <row r="181" spans="1:19" ht="12.75">
      <c r="A181" s="1">
        <f>DATE(1945,10,1)</f>
        <v>16711</v>
      </c>
      <c r="B181">
        <v>1945</v>
      </c>
      <c r="C181">
        <v>10</v>
      </c>
      <c r="D181">
        <v>0.38</v>
      </c>
      <c r="F181">
        <v>0.8359880031951418</v>
      </c>
      <c r="I181">
        <v>0.9625935162094753</v>
      </c>
      <c r="J181" s="2">
        <v>5792.501476980859</v>
      </c>
      <c r="K181">
        <f t="shared" si="1"/>
        <v>0</v>
      </c>
      <c r="L181" s="2">
        <v>0.1932608592878834</v>
      </c>
      <c r="Q181">
        <v>0.5758863402388751</v>
      </c>
      <c r="R181">
        <f t="shared" si="0"/>
        <v>0</v>
      </c>
      <c r="S181">
        <v>0.01838437362630483</v>
      </c>
    </row>
    <row r="182" spans="1:19" ht="12.75">
      <c r="A182" s="1">
        <f>DATE(1945,11,1)</f>
        <v>16742</v>
      </c>
      <c r="B182">
        <v>1945</v>
      </c>
      <c r="C182">
        <v>11</v>
      </c>
      <c r="D182">
        <v>0.38</v>
      </c>
      <c r="F182">
        <v>0.8224605562596762</v>
      </c>
      <c r="I182">
        <v>0.9600997506234403</v>
      </c>
      <c r="J182" s="2">
        <v>6163.06167250203</v>
      </c>
      <c r="K182">
        <f t="shared" si="1"/>
        <v>0</v>
      </c>
      <c r="L182" s="2">
        <v>0.06165179448478626</v>
      </c>
      <c r="Q182">
        <v>0.5721269080788363</v>
      </c>
      <c r="R182">
        <f t="shared" si="0"/>
        <v>0</v>
      </c>
      <c r="S182">
        <v>-0.07079699417701185</v>
      </c>
    </row>
    <row r="183" spans="1:19" ht="12.75">
      <c r="A183" s="1">
        <f>DATE(1945,12,1)</f>
        <v>16772</v>
      </c>
      <c r="B183">
        <v>1945</v>
      </c>
      <c r="C183">
        <v>12</v>
      </c>
      <c r="D183">
        <v>0.38</v>
      </c>
      <c r="F183">
        <v>0.8076191646955715</v>
      </c>
      <c r="I183">
        <v>0.9576059850374053</v>
      </c>
      <c r="J183" s="2">
        <v>6531.6993799789725</v>
      </c>
      <c r="K183">
        <f t="shared" si="1"/>
        <v>0</v>
      </c>
      <c r="L183" s="2">
        <v>-0.008509657656864143</v>
      </c>
      <c r="Q183">
        <v>0.5699693177379361</v>
      </c>
      <c r="R183">
        <f t="shared" si="0"/>
        <v>0</v>
      </c>
      <c r="S183">
        <v>-0.08398734473353321</v>
      </c>
    </row>
    <row r="184" spans="1:19" ht="12.75">
      <c r="A184" s="1">
        <f>DATE(1946,1,1)</f>
        <v>16803</v>
      </c>
      <c r="B184">
        <v>1946</v>
      </c>
      <c r="C184">
        <v>1</v>
      </c>
      <c r="D184">
        <v>0.38</v>
      </c>
      <c r="F184">
        <v>0.7903101795031603</v>
      </c>
      <c r="I184">
        <v>0.9551122194513704</v>
      </c>
      <c r="J184" s="2">
        <v>6898.419599380592</v>
      </c>
      <c r="K184">
        <f t="shared" si="1"/>
        <v>0</v>
      </c>
      <c r="L184" s="2">
        <v>-0.09394415281755912</v>
      </c>
      <c r="Q184">
        <v>0.5673458492778308</v>
      </c>
      <c r="R184">
        <f t="shared" si="0"/>
        <v>0</v>
      </c>
      <c r="S184">
        <v>0.023080318018994718</v>
      </c>
    </row>
    <row r="185" spans="1:19" ht="12.75">
      <c r="A185" s="1">
        <f>DATE(1946,2,1)</f>
        <v>16834</v>
      </c>
      <c r="B185">
        <v>1946</v>
      </c>
      <c r="C185">
        <v>2</v>
      </c>
      <c r="D185">
        <v>0.38</v>
      </c>
      <c r="F185">
        <v>0.7721651112224288</v>
      </c>
      <c r="I185">
        <v>0.9526184538653354</v>
      </c>
      <c r="J185" s="2">
        <v>7263.227330675795</v>
      </c>
      <c r="K185">
        <f t="shared" si="1"/>
        <v>0</v>
      </c>
      <c r="L185" s="2">
        <v>0.03438644854005673</v>
      </c>
      <c r="Q185">
        <v>0.5641663017789381</v>
      </c>
      <c r="R185">
        <f t="shared" si="0"/>
        <v>0</v>
      </c>
      <c r="S185">
        <v>0.027982067069922442</v>
      </c>
    </row>
    <row r="186" spans="1:19" ht="12.75">
      <c r="A186" s="1">
        <f>DATE(1946,3,1)</f>
        <v>16862</v>
      </c>
      <c r="B186">
        <v>1946</v>
      </c>
      <c r="C186">
        <v>3</v>
      </c>
      <c r="D186">
        <v>0.38</v>
      </c>
      <c r="F186">
        <v>0.7540412734131163</v>
      </c>
      <c r="I186">
        <v>0.9501246882793003</v>
      </c>
      <c r="J186" s="2">
        <v>7626.127573833486</v>
      </c>
      <c r="K186">
        <f t="shared" si="1"/>
        <v>0</v>
      </c>
      <c r="L186" s="2">
        <v>0.15513731315606918</v>
      </c>
      <c r="Q186">
        <v>0.5616502281144989</v>
      </c>
      <c r="R186">
        <f t="shared" si="0"/>
        <v>0</v>
      </c>
      <c r="S186">
        <v>-0.03622706225152705</v>
      </c>
    </row>
    <row r="187" spans="1:19" ht="12.75">
      <c r="A187" s="1">
        <f>DATE(1946,4,1)</f>
        <v>16893</v>
      </c>
      <c r="B187">
        <v>1946</v>
      </c>
      <c r="C187">
        <v>4</v>
      </c>
      <c r="D187">
        <v>0.38</v>
      </c>
      <c r="F187">
        <v>0.7368506268365749</v>
      </c>
      <c r="I187">
        <v>0.9476309226932653</v>
      </c>
      <c r="J187" s="2">
        <v>7987.125328822571</v>
      </c>
      <c r="K187">
        <f t="shared" si="1"/>
        <v>0</v>
      </c>
      <c r="L187" s="2">
        <v>-0.09987171714159919</v>
      </c>
      <c r="Q187">
        <v>0.5591615507927281</v>
      </c>
      <c r="R187">
        <f t="shared" si="0"/>
        <v>0</v>
      </c>
      <c r="S187">
        <v>-0.0014790271218803105</v>
      </c>
    </row>
    <row r="188" spans="1:19" ht="12.75">
      <c r="A188" s="1">
        <f>DATE(1946,5,1)</f>
        <v>16923</v>
      </c>
      <c r="B188">
        <v>1946</v>
      </c>
      <c r="C188">
        <v>5</v>
      </c>
      <c r="D188">
        <v>0.38</v>
      </c>
      <c r="F188">
        <v>0.7197129518215897</v>
      </c>
      <c r="I188">
        <v>0.9451371571072303</v>
      </c>
      <c r="J188" s="2">
        <v>8346.225595611955</v>
      </c>
      <c r="K188">
        <f t="shared" si="1"/>
        <v>0</v>
      </c>
      <c r="L188" s="2">
        <v>0.005237442046553674</v>
      </c>
      <c r="Q188">
        <v>0.5561909212128462</v>
      </c>
      <c r="R188">
        <f t="shared" si="0"/>
        <v>0</v>
      </c>
      <c r="S188">
        <v>0.02388929622829557</v>
      </c>
    </row>
    <row r="189" spans="1:19" ht="12.75">
      <c r="A189" s="1">
        <f>DATE(1946,6,1)</f>
        <v>16954</v>
      </c>
      <c r="B189">
        <v>1946</v>
      </c>
      <c r="C189">
        <v>6</v>
      </c>
      <c r="D189">
        <v>0.38</v>
      </c>
      <c r="F189">
        <v>0.7045482719440131</v>
      </c>
      <c r="I189">
        <v>0.9426433915211954</v>
      </c>
      <c r="J189" s="2">
        <v>8703.433374170545</v>
      </c>
      <c r="K189">
        <f t="shared" si="1"/>
        <v>0</v>
      </c>
      <c r="L189" s="2">
        <v>0.08046657569420458</v>
      </c>
      <c r="Q189">
        <v>0.5522531661840206</v>
      </c>
      <c r="R189">
        <f t="shared" si="0"/>
        <v>0</v>
      </c>
      <c r="S189">
        <v>0.04872993606087581</v>
      </c>
    </row>
    <row r="190" spans="1:19" ht="12.75">
      <c r="A190" s="1">
        <f>DATE(1946,7,1)</f>
        <v>16984</v>
      </c>
      <c r="B190">
        <v>1946</v>
      </c>
      <c r="C190">
        <v>7</v>
      </c>
      <c r="D190">
        <v>0.38</v>
      </c>
      <c r="F190">
        <v>0.6913904660169715</v>
      </c>
      <c r="I190">
        <v>0.9401496259351604</v>
      </c>
      <c r="J190" s="2">
        <v>9058.753664467245</v>
      </c>
      <c r="K190">
        <f t="shared" si="1"/>
        <v>0</v>
      </c>
      <c r="L190" s="2">
        <v>0.07918211417145192</v>
      </c>
      <c r="Q190">
        <v>0.5484397465518742</v>
      </c>
      <c r="R190">
        <f t="shared" si="0"/>
        <v>0</v>
      </c>
      <c r="S190">
        <v>-0.006828338031530187</v>
      </c>
    </row>
    <row r="191" spans="1:19" ht="12.75">
      <c r="A191" s="1">
        <f>DATE(1946,8,1)</f>
        <v>17015</v>
      </c>
      <c r="B191">
        <v>1946</v>
      </c>
      <c r="C191">
        <v>8</v>
      </c>
      <c r="D191">
        <v>0.38</v>
      </c>
      <c r="F191">
        <v>0.6811815107430158</v>
      </c>
      <c r="I191">
        <v>0.9376558603491254</v>
      </c>
      <c r="J191" s="2">
        <v>9412.191466470964</v>
      </c>
      <c r="K191">
        <f t="shared" si="1"/>
        <v>0</v>
      </c>
      <c r="L191" s="2">
        <v>-0.02938048396980203</v>
      </c>
      <c r="Q191">
        <v>0.5451191961614343</v>
      </c>
      <c r="R191">
        <f aca="true" t="shared" si="2" ref="R191:R254">D191-D190</f>
        <v>0</v>
      </c>
      <c r="S191">
        <v>-0.024149447278804824</v>
      </c>
    </row>
    <row r="192" spans="1:19" ht="12.75">
      <c r="A192" s="1">
        <f>DATE(1946,9,1)</f>
        <v>17046</v>
      </c>
      <c r="B192">
        <v>1946</v>
      </c>
      <c r="C192">
        <v>9</v>
      </c>
      <c r="D192">
        <v>0.38</v>
      </c>
      <c r="F192">
        <v>0.6723640498744293</v>
      </c>
      <c r="I192">
        <v>0.9351620947630904</v>
      </c>
      <c r="J192" s="2">
        <v>9763.751780150604</v>
      </c>
      <c r="K192">
        <f t="shared" si="1"/>
        <v>0</v>
      </c>
      <c r="L192" s="2">
        <v>-0.23568499417002667</v>
      </c>
      <c r="Q192">
        <v>0.5408246987933917</v>
      </c>
      <c r="R192">
        <f t="shared" si="2"/>
        <v>0</v>
      </c>
      <c r="S192">
        <v>0.053224648894533405</v>
      </c>
    </row>
    <row r="193" spans="1:19" ht="12.75">
      <c r="A193" s="1">
        <f>DATE(1946,10,1)</f>
        <v>17076</v>
      </c>
      <c r="B193">
        <v>1946</v>
      </c>
      <c r="C193">
        <v>10</v>
      </c>
      <c r="D193">
        <v>0.38</v>
      </c>
      <c r="F193">
        <v>0.6646527760757455</v>
      </c>
      <c r="I193">
        <v>0.9326683291770554</v>
      </c>
      <c r="J193" s="2">
        <v>10113.439605475072</v>
      </c>
      <c r="K193">
        <f t="shared" si="1"/>
        <v>0</v>
      </c>
      <c r="L193" s="2">
        <v>-0.1583069671795483</v>
      </c>
      <c r="Q193">
        <v>0.5362797309325472</v>
      </c>
      <c r="R193">
        <f t="shared" si="2"/>
        <v>0</v>
      </c>
      <c r="S193">
        <v>0.015165168646443935</v>
      </c>
    </row>
    <row r="194" spans="1:19" ht="12.75">
      <c r="A194" s="1">
        <f>DATE(1946,11,1)</f>
        <v>17107</v>
      </c>
      <c r="B194">
        <v>1946</v>
      </c>
      <c r="C194">
        <v>11</v>
      </c>
      <c r="D194">
        <v>0.38</v>
      </c>
      <c r="F194">
        <v>0.6593064716458193</v>
      </c>
      <c r="I194">
        <v>0.9301745635910205</v>
      </c>
      <c r="J194" s="2">
        <v>10461.259942413273</v>
      </c>
      <c r="K194">
        <f t="shared" si="1"/>
        <v>0</v>
      </c>
      <c r="L194" s="2">
        <v>-0.012626545097914738</v>
      </c>
      <c r="Q194">
        <v>0.532832271894631</v>
      </c>
      <c r="R194">
        <f t="shared" si="2"/>
        <v>0</v>
      </c>
      <c r="S194">
        <v>-0.053825337680742824</v>
      </c>
    </row>
    <row r="195" spans="1:19" ht="12.75">
      <c r="A195" s="1">
        <f>DATE(1946,12,1)</f>
        <v>17137</v>
      </c>
      <c r="B195">
        <v>1946</v>
      </c>
      <c r="C195">
        <v>12</v>
      </c>
      <c r="D195">
        <v>0.38</v>
      </c>
      <c r="F195">
        <v>0.6537151241611265</v>
      </c>
      <c r="I195">
        <v>0.9276807980049855</v>
      </c>
      <c r="J195" s="2">
        <v>10807.217790934114</v>
      </c>
      <c r="K195">
        <f t="shared" si="1"/>
        <v>0</v>
      </c>
      <c r="L195" s="2">
        <v>-0.01330769726499718</v>
      </c>
      <c r="Q195">
        <v>0.5292662966418737</v>
      </c>
      <c r="R195">
        <f t="shared" si="2"/>
        <v>0</v>
      </c>
      <c r="S195">
        <v>0.0070683441515746286</v>
      </c>
    </row>
    <row r="196" spans="1:19" ht="12.75">
      <c r="A196" s="1">
        <f>DATE(1947,1,1)</f>
        <v>17168</v>
      </c>
      <c r="B196">
        <v>1947</v>
      </c>
      <c r="C196">
        <v>1</v>
      </c>
      <c r="D196">
        <v>0.38</v>
      </c>
      <c r="F196">
        <v>0.6457143294671047</v>
      </c>
      <c r="I196">
        <v>0.9251870324189505</v>
      </c>
      <c r="J196" s="2">
        <v>11151.318151006499</v>
      </c>
      <c r="K196">
        <f t="shared" si="1"/>
        <v>0</v>
      </c>
      <c r="L196" s="2">
        <v>-0.027357042448010183</v>
      </c>
      <c r="Q196">
        <v>0.5253790726934082</v>
      </c>
      <c r="R196">
        <f t="shared" si="2"/>
        <v>0</v>
      </c>
      <c r="S196">
        <v>0.01722514841769607</v>
      </c>
    </row>
    <row r="197" spans="1:19" ht="12.75">
      <c r="A197" s="1">
        <f>DATE(1947,2,1)</f>
        <v>17199</v>
      </c>
      <c r="B197">
        <v>1947</v>
      </c>
      <c r="C197">
        <v>2</v>
      </c>
      <c r="D197">
        <v>0.38</v>
      </c>
      <c r="F197">
        <v>0.6362669151695948</v>
      </c>
      <c r="I197">
        <v>0.9226932668329155</v>
      </c>
      <c r="J197" s="2">
        <v>11493.566022599336</v>
      </c>
      <c r="K197">
        <f t="shared" si="1"/>
        <v>0</v>
      </c>
      <c r="L197" s="2">
        <v>-0.010482874130309495</v>
      </c>
      <c r="Q197">
        <v>0.5214810747684919</v>
      </c>
      <c r="R197">
        <f t="shared" si="2"/>
        <v>0</v>
      </c>
      <c r="S197">
        <v>0.0021748762825663966</v>
      </c>
    </row>
    <row r="198" spans="1:19" ht="12.75">
      <c r="A198" s="1">
        <f>DATE(1947,3,1)</f>
        <v>17227</v>
      </c>
      <c r="B198">
        <v>1947</v>
      </c>
      <c r="C198">
        <v>3</v>
      </c>
      <c r="D198">
        <v>0.38</v>
      </c>
      <c r="F198">
        <v>0.6258191319742987</v>
      </c>
      <c r="I198">
        <v>0.9201995012468805</v>
      </c>
      <c r="J198" s="2">
        <v>11833.966405681529</v>
      </c>
      <c r="K198">
        <f t="shared" si="1"/>
        <v>0</v>
      </c>
      <c r="L198" s="2">
        <v>0.06266647800236023</v>
      </c>
      <c r="Q198">
        <v>0.5181835054748338</v>
      </c>
      <c r="R198">
        <f t="shared" si="2"/>
        <v>0</v>
      </c>
      <c r="S198">
        <v>-0.031205105673100392</v>
      </c>
    </row>
    <row r="199" spans="1:19" ht="12.75">
      <c r="A199" s="1">
        <f>DATE(1947,4,1)</f>
        <v>17258</v>
      </c>
      <c r="B199">
        <v>1947</v>
      </c>
      <c r="C199">
        <v>4</v>
      </c>
      <c r="D199">
        <v>0.38</v>
      </c>
      <c r="F199">
        <v>0.6169764993732946</v>
      </c>
      <c r="I199">
        <v>0.9177057356608456</v>
      </c>
      <c r="J199" s="2">
        <v>12172.524300221985</v>
      </c>
      <c r="K199">
        <f t="shared" si="1"/>
        <v>0</v>
      </c>
      <c r="L199" s="2">
        <v>0.13000035496914417</v>
      </c>
      <c r="Q199">
        <v>0.5157013237259832</v>
      </c>
      <c r="R199">
        <f t="shared" si="2"/>
        <v>0</v>
      </c>
      <c r="S199">
        <v>-0.03811333601763374</v>
      </c>
    </row>
    <row r="200" spans="1:19" ht="12.75">
      <c r="A200" s="1">
        <f>DATE(1947,5,1)</f>
        <v>17288</v>
      </c>
      <c r="B200">
        <v>1947</v>
      </c>
      <c r="C200">
        <v>5</v>
      </c>
      <c r="D200">
        <v>0.38</v>
      </c>
      <c r="F200">
        <v>0.6095544635620271</v>
      </c>
      <c r="I200">
        <v>0.9152119700748106</v>
      </c>
      <c r="J200" s="2">
        <v>12509.244706189607</v>
      </c>
      <c r="K200">
        <f t="shared" si="1"/>
        <v>0</v>
      </c>
      <c r="L200" s="2">
        <v>0.06068418332293159</v>
      </c>
      <c r="Q200">
        <v>0.5133351021187892</v>
      </c>
      <c r="R200">
        <f t="shared" si="2"/>
        <v>0</v>
      </c>
      <c r="S200">
        <v>-0.004211699611159754</v>
      </c>
    </row>
    <row r="201" spans="1:19" ht="12.75">
      <c r="A201" s="1">
        <f>DATE(1947,6,1)</f>
        <v>17319</v>
      </c>
      <c r="B201">
        <v>1947</v>
      </c>
      <c r="C201">
        <v>6</v>
      </c>
      <c r="D201">
        <v>0.38</v>
      </c>
      <c r="F201">
        <v>0.6040636462288643</v>
      </c>
      <c r="I201">
        <v>0.9127182044887756</v>
      </c>
      <c r="J201" s="2">
        <v>12844.132623553303</v>
      </c>
      <c r="K201">
        <f t="shared" si="1"/>
        <v>0</v>
      </c>
      <c r="L201" s="2">
        <v>-0.05983565854927255</v>
      </c>
      <c r="Q201">
        <v>0.510246180670516</v>
      </c>
      <c r="R201">
        <f t="shared" si="2"/>
        <v>0</v>
      </c>
      <c r="S201">
        <v>0.03971225393418744</v>
      </c>
    </row>
    <row r="202" spans="1:19" ht="12.75">
      <c r="A202" s="1">
        <f>DATE(1947,7,1)</f>
        <v>17349</v>
      </c>
      <c r="B202">
        <v>1947</v>
      </c>
      <c r="C202">
        <v>7</v>
      </c>
      <c r="D202">
        <v>0.64</v>
      </c>
      <c r="F202">
        <v>0.6024025752520563</v>
      </c>
      <c r="I202">
        <v>0.9102244389027406</v>
      </c>
      <c r="J202" s="2">
        <v>13177.193052281978</v>
      </c>
      <c r="K202">
        <f t="shared" si="1"/>
        <v>0.26</v>
      </c>
      <c r="L202" s="2">
        <v>-0.04978679550704519</v>
      </c>
      <c r="Q202">
        <v>0.507738315173367</v>
      </c>
      <c r="R202">
        <f t="shared" si="2"/>
        <v>0.26</v>
      </c>
      <c r="S202">
        <v>-0.019810660956646162</v>
      </c>
    </row>
    <row r="203" spans="1:19" ht="12.75">
      <c r="A203" s="1">
        <f>DATE(1947,8,1)</f>
        <v>17380</v>
      </c>
      <c r="B203">
        <v>1947</v>
      </c>
      <c r="C203">
        <v>8</v>
      </c>
      <c r="D203">
        <v>0.74</v>
      </c>
      <c r="F203">
        <v>0.6042561371783143</v>
      </c>
      <c r="I203">
        <v>0.9077306733167056</v>
      </c>
      <c r="J203" s="2">
        <v>13508.430992344538</v>
      </c>
      <c r="K203">
        <f t="shared" si="1"/>
        <v>0.09999999999999998</v>
      </c>
      <c r="L203" s="2">
        <v>-0.0632639550296629</v>
      </c>
      <c r="Q203">
        <v>0.505107987118525</v>
      </c>
      <c r="R203">
        <f t="shared" si="2"/>
        <v>0.09999999999999998</v>
      </c>
      <c r="S203">
        <v>0.00886354870833835</v>
      </c>
    </row>
    <row r="204" spans="1:19" ht="12.75">
      <c r="A204" s="1">
        <f>DATE(1947,9,1)</f>
        <v>17411</v>
      </c>
      <c r="B204">
        <v>1947</v>
      </c>
      <c r="C204">
        <v>9</v>
      </c>
      <c r="D204">
        <v>0.79</v>
      </c>
      <c r="F204">
        <v>0.6070946412690913</v>
      </c>
      <c r="I204">
        <v>0.9052369077306707</v>
      </c>
      <c r="J204" s="2">
        <v>13837.851443709887</v>
      </c>
      <c r="K204">
        <f t="shared" si="1"/>
        <v>0.050000000000000044</v>
      </c>
      <c r="L204" s="2">
        <v>-0.021781302549475474</v>
      </c>
      <c r="Q204">
        <v>0.5022305465255114</v>
      </c>
      <c r="R204">
        <f t="shared" si="2"/>
        <v>0.050000000000000044</v>
      </c>
      <c r="S204">
        <v>0.013808582504972697</v>
      </c>
    </row>
    <row r="205" spans="1:19" ht="12.75">
      <c r="A205" s="1">
        <f>DATE(1947,10,1)</f>
        <v>17441</v>
      </c>
      <c r="B205">
        <v>1947</v>
      </c>
      <c r="C205">
        <v>10</v>
      </c>
      <c r="D205">
        <v>0.84</v>
      </c>
      <c r="F205">
        <v>0.6101473101936624</v>
      </c>
      <c r="I205">
        <v>0.9027431421446357</v>
      </c>
      <c r="J205" s="2">
        <v>14165.459406346934</v>
      </c>
      <c r="K205">
        <f t="shared" si="1"/>
        <v>0.04999999999999993</v>
      </c>
      <c r="L205" s="2">
        <v>-0.05086017866053129</v>
      </c>
      <c r="Q205">
        <v>0.49759106654248125</v>
      </c>
      <c r="R205">
        <f t="shared" si="2"/>
        <v>0.04999999999999993</v>
      </c>
      <c r="S205">
        <v>0.09274580260001508</v>
      </c>
    </row>
    <row r="206" spans="1:19" ht="12.75">
      <c r="A206" s="1">
        <f>DATE(1947,11,1)</f>
        <v>17472</v>
      </c>
      <c r="B206">
        <v>1947</v>
      </c>
      <c r="C206">
        <v>11</v>
      </c>
      <c r="D206">
        <v>0.92</v>
      </c>
      <c r="F206">
        <v>0.6127844032934354</v>
      </c>
      <c r="I206">
        <v>0.9002493765586007</v>
      </c>
      <c r="J206" s="2">
        <v>14491.259880224581</v>
      </c>
      <c r="K206">
        <f t="shared" si="1"/>
        <v>0.08000000000000007</v>
      </c>
      <c r="L206" s="2">
        <v>-0.058287184173487425</v>
      </c>
      <c r="Q206">
        <v>0.4918904373433645</v>
      </c>
      <c r="R206">
        <f t="shared" si="2"/>
        <v>0.08000000000000007</v>
      </c>
      <c r="S206">
        <v>0.05771773413480412</v>
      </c>
    </row>
    <row r="207" spans="1:19" ht="12.75">
      <c r="A207" s="1">
        <f>DATE(1947,12,1)</f>
        <v>17502</v>
      </c>
      <c r="B207">
        <v>1947</v>
      </c>
      <c r="C207">
        <v>12</v>
      </c>
      <c r="D207">
        <v>0.95</v>
      </c>
      <c r="F207">
        <v>0.6141885995798836</v>
      </c>
      <c r="I207">
        <v>0.8977556109725657</v>
      </c>
      <c r="J207" s="2">
        <v>14815.257865311736</v>
      </c>
      <c r="K207">
        <f t="shared" si="1"/>
        <v>0.029999999999999916</v>
      </c>
      <c r="L207" s="2">
        <v>-0.02847221737858886</v>
      </c>
      <c r="Q207">
        <v>0.48745804675102816</v>
      </c>
      <c r="R207">
        <f t="shared" si="2"/>
        <v>0.029999999999999916</v>
      </c>
      <c r="S207">
        <v>-0.06516131748170681</v>
      </c>
    </row>
    <row r="208" spans="1:19" ht="12.75">
      <c r="A208" s="1">
        <f>DATE(1948,1,1)</f>
        <v>17533</v>
      </c>
      <c r="B208">
        <v>1948</v>
      </c>
      <c r="C208">
        <v>1</v>
      </c>
      <c r="D208">
        <v>0.97</v>
      </c>
      <c r="F208">
        <v>0.6142234837996655</v>
      </c>
      <c r="I208">
        <v>0.8952618453865308</v>
      </c>
      <c r="J208" s="2">
        <v>15137.458361577304</v>
      </c>
      <c r="K208">
        <f t="shared" si="1"/>
        <v>0.020000000000000018</v>
      </c>
      <c r="L208" s="2">
        <v>-0.01942439739426324</v>
      </c>
      <c r="Q208">
        <v>0.48374931064429616</v>
      </c>
      <c r="R208">
        <f t="shared" si="2"/>
        <v>0.020000000000000018</v>
      </c>
      <c r="S208">
        <v>-0.03669590260369052</v>
      </c>
    </row>
    <row r="209" spans="1:19" ht="12.75">
      <c r="A209" s="1">
        <f>DATE(1948,2,1)</f>
        <v>17564</v>
      </c>
      <c r="B209">
        <v>1948</v>
      </c>
      <c r="C209">
        <v>2</v>
      </c>
      <c r="D209">
        <v>0.99</v>
      </c>
      <c r="F209">
        <v>0.6129664094621383</v>
      </c>
      <c r="I209">
        <v>0.8927680798004958</v>
      </c>
      <c r="J209" s="2">
        <v>15457.866368990191</v>
      </c>
      <c r="K209">
        <f t="shared" si="1"/>
        <v>0.020000000000000018</v>
      </c>
      <c r="L209" s="2">
        <v>0.0035527517331256746</v>
      </c>
      <c r="Q209">
        <v>0.48053454564055437</v>
      </c>
      <c r="R209">
        <f t="shared" si="2"/>
        <v>0.020000000000000018</v>
      </c>
      <c r="S209">
        <v>-0.025341050586385146</v>
      </c>
    </row>
    <row r="210" spans="1:19" ht="12.75">
      <c r="A210" s="1">
        <f>DATE(1948,3,1)</f>
        <v>17593</v>
      </c>
      <c r="B210">
        <v>1948</v>
      </c>
      <c r="C210">
        <v>3</v>
      </c>
      <c r="D210">
        <v>1</v>
      </c>
      <c r="F210">
        <v>0.611332527704872</v>
      </c>
      <c r="I210">
        <v>0.8902743142144608</v>
      </c>
      <c r="J210" s="2">
        <v>15776.486887519302</v>
      </c>
      <c r="K210">
        <f t="shared" si="1"/>
        <v>0.010000000000000009</v>
      </c>
      <c r="L210" s="2">
        <v>0.013753947868902855</v>
      </c>
      <c r="Q210">
        <v>0.4771434926272466</v>
      </c>
      <c r="R210">
        <f t="shared" si="2"/>
        <v>0.010000000000000009</v>
      </c>
      <c r="S210">
        <v>0.010485028940955848</v>
      </c>
    </row>
    <row r="211" spans="1:19" ht="12.75">
      <c r="A211" s="1">
        <f>DATE(1948,4,1)</f>
        <v>17624</v>
      </c>
      <c r="B211">
        <v>1948</v>
      </c>
      <c r="C211">
        <v>4</v>
      </c>
      <c r="D211">
        <v>1</v>
      </c>
      <c r="F211">
        <v>0.6079828512435493</v>
      </c>
      <c r="I211">
        <v>0.8877805486284258</v>
      </c>
      <c r="J211" s="2">
        <v>16093.324917133545</v>
      </c>
      <c r="K211">
        <f t="shared" si="1"/>
        <v>0</v>
      </c>
      <c r="L211" s="2">
        <v>-0.011806021462340083</v>
      </c>
      <c r="Q211">
        <v>0.47412604526486857</v>
      </c>
      <c r="R211">
        <f t="shared" si="2"/>
        <v>0</v>
      </c>
      <c r="S211">
        <v>-0.018726121490415467</v>
      </c>
    </row>
    <row r="212" spans="1:19" ht="12.75">
      <c r="A212" s="1">
        <f>DATE(1948,5,1)</f>
        <v>17654</v>
      </c>
      <c r="B212">
        <v>1948</v>
      </c>
      <c r="C212">
        <v>5</v>
      </c>
      <c r="D212">
        <v>1</v>
      </c>
      <c r="F212">
        <v>0.6046240928485185</v>
      </c>
      <c r="I212">
        <v>0.8852867830423908</v>
      </c>
      <c r="J212" s="2">
        <v>16408.38545780182</v>
      </c>
      <c r="K212">
        <f t="shared" si="1"/>
        <v>0</v>
      </c>
      <c r="L212" s="2">
        <v>0.008805391356544233</v>
      </c>
      <c r="Q212">
        <v>0.47214652477704155</v>
      </c>
      <c r="R212">
        <f t="shared" si="2"/>
        <v>0</v>
      </c>
      <c r="S212">
        <v>-0.05421420999809845</v>
      </c>
    </row>
    <row r="213" spans="1:19" ht="12.75">
      <c r="A213" s="1">
        <f>DATE(1948,6,1)</f>
        <v>17685</v>
      </c>
      <c r="B213">
        <v>1948</v>
      </c>
      <c r="C213">
        <v>6</v>
      </c>
      <c r="D213">
        <v>1</v>
      </c>
      <c r="F213">
        <v>0.6042339132190468</v>
      </c>
      <c r="I213">
        <v>0.8827930174563559</v>
      </c>
      <c r="J213" s="2">
        <v>16721.67350949304</v>
      </c>
      <c r="K213">
        <f t="shared" si="1"/>
        <v>0</v>
      </c>
      <c r="L213" s="2">
        <v>0.013131299000897852</v>
      </c>
      <c r="Q213">
        <v>0.47030684401074957</v>
      </c>
      <c r="R213">
        <f t="shared" si="2"/>
        <v>0</v>
      </c>
      <c r="S213">
        <v>-0.007163683121526473</v>
      </c>
    </row>
    <row r="214" spans="1:19" ht="12.75">
      <c r="A214" s="1">
        <f>DATE(1948,7,1)</f>
        <v>17715</v>
      </c>
      <c r="B214">
        <v>1948</v>
      </c>
      <c r="C214">
        <v>7</v>
      </c>
      <c r="D214">
        <v>1</v>
      </c>
      <c r="F214">
        <v>0.6034006932994035</v>
      </c>
      <c r="I214">
        <v>0.8802992518703209</v>
      </c>
      <c r="J214" s="2">
        <v>17033.194072176106</v>
      </c>
      <c r="K214">
        <f t="shared" si="1"/>
        <v>0</v>
      </c>
      <c r="L214" s="2">
        <v>0.001889125909560979</v>
      </c>
      <c r="Q214">
        <v>0.4676259814240643</v>
      </c>
      <c r="R214">
        <f t="shared" si="2"/>
        <v>0</v>
      </c>
      <c r="S214">
        <v>0.0420848424438183</v>
      </c>
    </row>
    <row r="215" spans="1:19" ht="12.75">
      <c r="A215" s="1">
        <f>DATE(1948,8,1)</f>
        <v>17746</v>
      </c>
      <c r="B215">
        <v>1948</v>
      </c>
      <c r="C215">
        <v>8</v>
      </c>
      <c r="D215">
        <v>1.03</v>
      </c>
      <c r="F215">
        <v>0.6024218046797816</v>
      </c>
      <c r="I215">
        <v>0.8778054862842859</v>
      </c>
      <c r="J215" s="2">
        <v>17342.952145819923</v>
      </c>
      <c r="K215">
        <f t="shared" si="1"/>
        <v>0.030000000000000027</v>
      </c>
      <c r="L215" s="2">
        <v>0.012246072508970434</v>
      </c>
      <c r="Q215">
        <v>0.4633725429878204</v>
      </c>
      <c r="R215">
        <f t="shared" si="2"/>
        <v>0.030000000000000027</v>
      </c>
      <c r="S215">
        <v>0.0799324159071934</v>
      </c>
    </row>
    <row r="216" spans="1:19" ht="12.75">
      <c r="A216" s="1">
        <f>DATE(1948,9,1)</f>
        <v>17777</v>
      </c>
      <c r="B216">
        <v>1948</v>
      </c>
      <c r="C216">
        <v>9</v>
      </c>
      <c r="D216">
        <v>1.09</v>
      </c>
      <c r="F216">
        <v>0.6010842017808559</v>
      </c>
      <c r="I216">
        <v>0.8753117206982509</v>
      </c>
      <c r="J216" s="2">
        <v>17650.9527303934</v>
      </c>
      <c r="K216">
        <f t="shared" si="1"/>
        <v>0.06000000000000005</v>
      </c>
      <c r="L216" s="2">
        <v>0.0010404268912200699</v>
      </c>
      <c r="Q216">
        <v>0.45981748421989005</v>
      </c>
      <c r="R216">
        <f t="shared" si="2"/>
        <v>0.06000000000000005</v>
      </c>
      <c r="S216">
        <v>-0.03310326294164293</v>
      </c>
    </row>
    <row r="217" spans="1:19" ht="12.75">
      <c r="A217" s="1">
        <f>DATE(1948,10,1)</f>
        <v>17807</v>
      </c>
      <c r="B217">
        <v>1948</v>
      </c>
      <c r="C217">
        <v>10</v>
      </c>
      <c r="D217">
        <v>1.12</v>
      </c>
      <c r="F217">
        <v>0.5996921302659479</v>
      </c>
      <c r="I217">
        <v>0.8728179551122159</v>
      </c>
      <c r="J217" s="2">
        <v>17957.200825865442</v>
      </c>
      <c r="K217">
        <f t="shared" si="1"/>
        <v>0.030000000000000027</v>
      </c>
      <c r="L217" s="2">
        <v>0.007402753836803372</v>
      </c>
      <c r="Q217">
        <v>0.45633096789135597</v>
      </c>
      <c r="R217">
        <f t="shared" si="2"/>
        <v>0.030000000000000027</v>
      </c>
      <c r="S217">
        <v>-7.895210978806133E-08</v>
      </c>
    </row>
    <row r="218" spans="1:19" ht="12.75">
      <c r="A218" s="1">
        <f>DATE(1948,11,1)</f>
        <v>17838</v>
      </c>
      <c r="B218">
        <v>1948</v>
      </c>
      <c r="C218">
        <v>11</v>
      </c>
      <c r="D218">
        <v>1.14</v>
      </c>
      <c r="F218">
        <v>0.599107107824409</v>
      </c>
      <c r="I218">
        <v>0.870324189526181</v>
      </c>
      <c r="J218" s="2">
        <v>18261.70143220495</v>
      </c>
      <c r="K218">
        <f t="shared" si="1"/>
        <v>0.019999999999999796</v>
      </c>
      <c r="L218" s="2">
        <v>-0.008808063074703077</v>
      </c>
      <c r="Q218">
        <v>0.4522905664308228</v>
      </c>
      <c r="R218">
        <f t="shared" si="2"/>
        <v>0.019999999999999796</v>
      </c>
      <c r="S218">
        <v>0.027808529235308823</v>
      </c>
    </row>
    <row r="219" spans="1:19" ht="12.75">
      <c r="A219" s="1">
        <f>DATE(1948,12,1)</f>
        <v>17868</v>
      </c>
      <c r="B219">
        <v>1948</v>
      </c>
      <c r="C219">
        <v>12</v>
      </c>
      <c r="D219">
        <v>1.15</v>
      </c>
      <c r="F219">
        <v>0.5954341395132651</v>
      </c>
      <c r="I219">
        <v>0.867830423940146</v>
      </c>
      <c r="J219" s="2">
        <v>18564.459549380837</v>
      </c>
      <c r="K219">
        <f t="shared" si="1"/>
        <v>0.010000000000000009</v>
      </c>
      <c r="L219" s="2">
        <v>-0.09309015329018491</v>
      </c>
      <c r="Q219">
        <v>0.4474015406933035</v>
      </c>
      <c r="R219">
        <f t="shared" si="2"/>
        <v>0.010000000000000009</v>
      </c>
      <c r="S219">
        <v>0.042260588806079934</v>
      </c>
    </row>
    <row r="220" spans="1:19" ht="12.75">
      <c r="A220" s="1">
        <f>DATE(1949,1,1)</f>
        <v>17899</v>
      </c>
      <c r="B220">
        <v>1949</v>
      </c>
      <c r="C220">
        <v>1</v>
      </c>
      <c r="D220">
        <v>1.16</v>
      </c>
      <c r="F220">
        <v>0.589084588776223</v>
      </c>
      <c r="I220">
        <v>0.865336658354111</v>
      </c>
      <c r="J220" s="2">
        <v>18865.480177362006</v>
      </c>
      <c r="K220">
        <f t="shared" si="1"/>
        <v>0.010000000000000009</v>
      </c>
      <c r="L220" s="2">
        <v>-0.028011229127100343</v>
      </c>
      <c r="Q220">
        <v>0.4420444059809608</v>
      </c>
      <c r="R220">
        <f t="shared" si="2"/>
        <v>0.010000000000000009</v>
      </c>
      <c r="S220">
        <v>0.02296483225250027</v>
      </c>
    </row>
    <row r="221" spans="1:19" ht="12.75">
      <c r="A221" s="1">
        <f>DATE(1949,2,1)</f>
        <v>17930</v>
      </c>
      <c r="B221">
        <v>1949</v>
      </c>
      <c r="C221">
        <v>2</v>
      </c>
      <c r="D221">
        <v>1.16</v>
      </c>
      <c r="F221">
        <v>0.5809757462420185</v>
      </c>
      <c r="I221">
        <v>0.862842892768076</v>
      </c>
      <c r="J221" s="2">
        <v>19164.76831611736</v>
      </c>
      <c r="K221">
        <f t="shared" si="1"/>
        <v>0</v>
      </c>
      <c r="L221" s="2">
        <v>-0.04267082619554209</v>
      </c>
      <c r="Q221">
        <v>0.43716707442938046</v>
      </c>
      <c r="R221">
        <f t="shared" si="2"/>
        <v>0</v>
      </c>
      <c r="S221">
        <v>-0.028608324058756185</v>
      </c>
    </row>
    <row r="222" spans="1:19" ht="12.75">
      <c r="A222" s="1">
        <f>DATE(1949,3,1)</f>
        <v>17958</v>
      </c>
      <c r="B222">
        <v>1949</v>
      </c>
      <c r="C222">
        <v>3</v>
      </c>
      <c r="D222">
        <v>1.16</v>
      </c>
      <c r="F222">
        <v>0.5728524512387069</v>
      </c>
      <c r="I222">
        <v>0.860349127182041</v>
      </c>
      <c r="J222" s="2">
        <v>19462.328965615805</v>
      </c>
      <c r="K222">
        <f t="shared" si="1"/>
        <v>0</v>
      </c>
      <c r="L222" s="2">
        <v>-0.05234780639279213</v>
      </c>
      <c r="Q222">
        <v>0.4315810192520132</v>
      </c>
      <c r="R222">
        <f t="shared" si="2"/>
        <v>0</v>
      </c>
      <c r="S222">
        <v>0.0365891178592313</v>
      </c>
    </row>
    <row r="223" spans="1:19" ht="12.75">
      <c r="A223" s="1">
        <f>DATE(1949,4,1)</f>
        <v>17989</v>
      </c>
      <c r="B223">
        <v>1949</v>
      </c>
      <c r="C223">
        <v>4</v>
      </c>
      <c r="D223">
        <v>1.16</v>
      </c>
      <c r="F223">
        <v>0.5610401872189144</v>
      </c>
      <c r="I223">
        <v>0.8578553615960061</v>
      </c>
      <c r="J223" s="2">
        <v>19758.16712582625</v>
      </c>
      <c r="K223">
        <f t="shared" si="1"/>
        <v>0</v>
      </c>
      <c r="L223" s="2">
        <v>0.015130773704149081</v>
      </c>
      <c r="Q223">
        <v>0.4264454139013923</v>
      </c>
      <c r="R223">
        <f t="shared" si="2"/>
        <v>0</v>
      </c>
      <c r="S223">
        <v>-0.02469282354777331</v>
      </c>
    </row>
    <row r="224" spans="1:19" ht="12.75">
      <c r="A224" s="1">
        <f>DATE(1949,5,1)</f>
        <v>18019</v>
      </c>
      <c r="B224">
        <v>1949</v>
      </c>
      <c r="C224">
        <v>5</v>
      </c>
      <c r="D224">
        <v>1.15</v>
      </c>
      <c r="F224">
        <v>0.5485238909200454</v>
      </c>
      <c r="I224">
        <v>0.855361596009971</v>
      </c>
      <c r="J224" s="2">
        <v>20052.2877967176</v>
      </c>
      <c r="K224">
        <f t="shared" si="1"/>
        <v>-0.010000000000000009</v>
      </c>
      <c r="L224" s="2">
        <v>0.028678892823295794</v>
      </c>
      <c r="Q224">
        <v>0.42148697648921507</v>
      </c>
      <c r="R224">
        <f t="shared" si="2"/>
        <v>-0.010000000000000009</v>
      </c>
      <c r="S224">
        <v>-0.011795896505409185</v>
      </c>
    </row>
    <row r="225" spans="1:19" ht="12.75">
      <c r="A225" s="1">
        <f>DATE(1949,6,1)</f>
        <v>18050</v>
      </c>
      <c r="B225">
        <v>1949</v>
      </c>
      <c r="C225">
        <v>6</v>
      </c>
      <c r="D225">
        <v>1.16</v>
      </c>
      <c r="F225">
        <v>0.5376901181747459</v>
      </c>
      <c r="I225">
        <v>0.852867830423936</v>
      </c>
      <c r="J225" s="2">
        <v>20344.695978258755</v>
      </c>
      <c r="K225">
        <f t="shared" si="1"/>
        <v>0.010000000000000009</v>
      </c>
      <c r="L225" s="2">
        <v>0.05010982222490189</v>
      </c>
      <c r="Q225">
        <v>0.4169166837745406</v>
      </c>
      <c r="R225">
        <f t="shared" si="2"/>
        <v>0.010000000000000009</v>
      </c>
      <c r="S225">
        <v>-0.01794633884776973</v>
      </c>
    </row>
    <row r="226" spans="1:19" ht="12.75">
      <c r="A226" s="1">
        <f>DATE(1949,7,1)</f>
        <v>18080</v>
      </c>
      <c r="B226">
        <v>1949</v>
      </c>
      <c r="C226">
        <v>7</v>
      </c>
      <c r="D226">
        <v>0.98</v>
      </c>
      <c r="F226">
        <v>0.5286544044528839</v>
      </c>
      <c r="I226">
        <v>0.850374064837901</v>
      </c>
      <c r="J226" s="2">
        <v>20635.396670418628</v>
      </c>
      <c r="K226">
        <f t="shared" si="1"/>
        <v>-0.17999999999999994</v>
      </c>
      <c r="L226" s="2">
        <v>0.08461614300991835</v>
      </c>
      <c r="Q226">
        <v>0.4122320179424079</v>
      </c>
      <c r="R226">
        <f t="shared" si="2"/>
        <v>-0.17999999999999994</v>
      </c>
      <c r="S226">
        <v>-0.00024148546695795686</v>
      </c>
    </row>
    <row r="227" spans="1:19" ht="12.75">
      <c r="A227" s="1">
        <f>DATE(1949,8,1)</f>
        <v>18111</v>
      </c>
      <c r="B227">
        <v>1949</v>
      </c>
      <c r="C227">
        <v>8</v>
      </c>
      <c r="D227">
        <v>1.02</v>
      </c>
      <c r="F227">
        <v>0.5207032771916403</v>
      </c>
      <c r="I227">
        <v>0.847880299251866</v>
      </c>
      <c r="J227" s="2">
        <v>20924.39487316612</v>
      </c>
      <c r="K227">
        <f t="shared" si="1"/>
        <v>0.040000000000000036</v>
      </c>
      <c r="L227" s="2">
        <v>0.04126012493413558</v>
      </c>
      <c r="Q227">
        <v>0.407829075530067</v>
      </c>
      <c r="R227">
        <f t="shared" si="2"/>
        <v>0.040000000000000036</v>
      </c>
      <c r="S227">
        <v>-0.015900067634814174</v>
      </c>
    </row>
    <row r="228" spans="1:19" ht="12.75">
      <c r="A228" s="1">
        <f>DATE(1949,9,1)</f>
        <v>18142</v>
      </c>
      <c r="B228">
        <v>1949</v>
      </c>
      <c r="C228">
        <v>9</v>
      </c>
      <c r="D228">
        <v>1.06</v>
      </c>
      <c r="F228">
        <v>0.511200816085081</v>
      </c>
      <c r="I228">
        <v>0.845386533665831</v>
      </c>
      <c r="J228" s="2">
        <v>21211.695586470138</v>
      </c>
      <c r="K228">
        <f t="shared" si="1"/>
        <v>0.040000000000000036</v>
      </c>
      <c r="L228" s="2">
        <v>0.018437775909195483</v>
      </c>
      <c r="Q228">
        <v>0.4037886357241456</v>
      </c>
      <c r="R228">
        <f t="shared" si="2"/>
        <v>0.040000000000000036</v>
      </c>
      <c r="S228">
        <v>-0.02186623048075813</v>
      </c>
    </row>
    <row r="229" spans="1:19" ht="12.75">
      <c r="A229" s="1">
        <f>DATE(1949,10,1)</f>
        <v>18172</v>
      </c>
      <c r="B229">
        <v>1949</v>
      </c>
      <c r="C229">
        <v>10</v>
      </c>
      <c r="D229">
        <v>1.04</v>
      </c>
      <c r="F229">
        <v>0.5014379688840835</v>
      </c>
      <c r="I229">
        <v>0.8428927680797961</v>
      </c>
      <c r="J229" s="2">
        <v>21497.30381029959</v>
      </c>
      <c r="K229">
        <f t="shared" si="1"/>
        <v>-0.020000000000000018</v>
      </c>
      <c r="L229" s="2">
        <v>-0.07079444251397886</v>
      </c>
      <c r="Q229">
        <v>0.3990787310659199</v>
      </c>
      <c r="R229">
        <f t="shared" si="2"/>
        <v>-0.020000000000000018</v>
      </c>
      <c r="S229">
        <v>0.02962208045369024</v>
      </c>
    </row>
    <row r="230" spans="1:19" ht="12.75">
      <c r="A230" s="1">
        <f>DATE(1949,11,1)</f>
        <v>18203</v>
      </c>
      <c r="B230">
        <v>1949</v>
      </c>
      <c r="C230">
        <v>11</v>
      </c>
      <c r="D230">
        <v>1.06</v>
      </c>
      <c r="F230">
        <v>0.4917874455586413</v>
      </c>
      <c r="I230">
        <v>0.8403990024937611</v>
      </c>
      <c r="J230" s="2">
        <v>21781.224544623376</v>
      </c>
      <c r="K230">
        <f t="shared" si="1"/>
        <v>0.020000000000000018</v>
      </c>
      <c r="L230" s="2">
        <v>-0.08399244788652908</v>
      </c>
      <c r="Q230">
        <v>0.39494222451367</v>
      </c>
      <c r="R230">
        <f t="shared" si="2"/>
        <v>0.020000000000000018</v>
      </c>
      <c r="S230">
        <v>-0.03107501684663325</v>
      </c>
    </row>
    <row r="231" spans="1:19" ht="12.75">
      <c r="A231" s="1">
        <f>DATE(1949,12,1)</f>
        <v>18233</v>
      </c>
      <c r="B231">
        <v>1949</v>
      </c>
      <c r="C231">
        <v>12</v>
      </c>
      <c r="D231">
        <v>1.1</v>
      </c>
      <c r="F231">
        <v>0.48118462587477745</v>
      </c>
      <c r="I231">
        <v>0.8379052369077261</v>
      </c>
      <c r="J231" s="2">
        <v>22063.46278941041</v>
      </c>
      <c r="K231">
        <f t="shared" si="1"/>
        <v>0.040000000000000036</v>
      </c>
      <c r="L231" s="2">
        <v>0.023136165840655407</v>
      </c>
      <c r="Q231">
        <v>0.3911907340583862</v>
      </c>
      <c r="R231">
        <f t="shared" si="2"/>
        <v>0.040000000000000036</v>
      </c>
      <c r="S231">
        <v>-0.020028391523722846</v>
      </c>
    </row>
    <row r="232" spans="1:19" ht="12.75">
      <c r="A232" s="1">
        <f>DATE(1950,1,1)</f>
        <v>18264</v>
      </c>
      <c r="B232">
        <v>1950</v>
      </c>
      <c r="C232">
        <v>1</v>
      </c>
      <c r="D232">
        <v>1.09</v>
      </c>
      <c r="F232">
        <v>0.47087860194560494</v>
      </c>
      <c r="I232">
        <v>0.8354114713216911</v>
      </c>
      <c r="J232" s="2">
        <v>22344.02354462959</v>
      </c>
      <c r="K232">
        <f t="shared" si="1"/>
        <v>-0.010000000000000009</v>
      </c>
      <c r="L232" s="2">
        <v>0.028016355073888374</v>
      </c>
      <c r="Q232">
        <v>0.3879198652643088</v>
      </c>
      <c r="R232">
        <f t="shared" si="2"/>
        <v>-0.010000000000000009</v>
      </c>
      <c r="S232">
        <v>-0.027041257473643707</v>
      </c>
    </row>
    <row r="233" spans="1:19" ht="12.75">
      <c r="A233" s="1">
        <f>DATE(1950,2,1)</f>
        <v>18295</v>
      </c>
      <c r="B233">
        <v>1950</v>
      </c>
      <c r="C233">
        <v>2</v>
      </c>
      <c r="D233">
        <v>1.13</v>
      </c>
      <c r="F233">
        <v>0.46114891626827365</v>
      </c>
      <c r="I233">
        <v>0.8329177057356562</v>
      </c>
      <c r="J233" s="2">
        <v>22622.911810249825</v>
      </c>
      <c r="K233">
        <f t="shared" si="1"/>
        <v>0.039999999999999813</v>
      </c>
      <c r="L233" s="2">
        <v>-0.03621451581437903</v>
      </c>
      <c r="Q233">
        <v>0.3853933160869955</v>
      </c>
      <c r="R233">
        <f t="shared" si="2"/>
        <v>0.039999999999999813</v>
      </c>
      <c r="S233">
        <v>-0.03743263151212626</v>
      </c>
    </row>
    <row r="234" spans="1:19" ht="12.75">
      <c r="A234" s="1">
        <f>DATE(1950,3,1)</f>
        <v>18323</v>
      </c>
      <c r="B234">
        <v>1950</v>
      </c>
      <c r="C234">
        <v>3</v>
      </c>
      <c r="D234">
        <v>1.14</v>
      </c>
      <c r="F234">
        <v>0.45105028388571233</v>
      </c>
      <c r="I234">
        <v>0.8304239401496212</v>
      </c>
      <c r="J234" s="2">
        <v>22900.132586240023</v>
      </c>
      <c r="K234">
        <f t="shared" si="1"/>
        <v>0.010000000000000009</v>
      </c>
      <c r="L234" s="2">
        <v>-0.0015560456180798111</v>
      </c>
      <c r="Q234">
        <v>0.383630281584843</v>
      </c>
      <c r="R234">
        <f t="shared" si="2"/>
        <v>0.010000000000000009</v>
      </c>
      <c r="S234">
        <v>-0.038414175366976944</v>
      </c>
    </row>
    <row r="235" spans="1:19" ht="12.75">
      <c r="A235" s="1">
        <f>DATE(1950,4,1)</f>
        <v>18354</v>
      </c>
      <c r="B235">
        <v>1950</v>
      </c>
      <c r="C235">
        <v>4</v>
      </c>
      <c r="D235">
        <v>1.16</v>
      </c>
      <c r="F235">
        <v>0.44132578897937047</v>
      </c>
      <c r="I235">
        <v>0.8279301745635862</v>
      </c>
      <c r="J235" s="2">
        <v>23175.690872569085</v>
      </c>
      <c r="K235">
        <f t="shared" si="1"/>
        <v>0.020000000000000018</v>
      </c>
      <c r="L235" s="2">
        <v>0.023726634930078122</v>
      </c>
      <c r="Q235">
        <v>0.38178114866066537</v>
      </c>
      <c r="R235">
        <f t="shared" si="2"/>
        <v>0.020000000000000018</v>
      </c>
      <c r="S235">
        <v>0.0033340666774308264</v>
      </c>
    </row>
    <row r="236" spans="1:19" ht="12.75">
      <c r="A236" s="1">
        <f>DATE(1950,5,1)</f>
        <v>18384</v>
      </c>
      <c r="B236">
        <v>1950</v>
      </c>
      <c r="C236">
        <v>5</v>
      </c>
      <c r="D236">
        <v>1.17</v>
      </c>
      <c r="F236">
        <v>0.433102606850662</v>
      </c>
      <c r="I236">
        <v>0.8254364089775512</v>
      </c>
      <c r="J236" s="2">
        <v>23449.591669205918</v>
      </c>
      <c r="K236">
        <f t="shared" si="1"/>
        <v>0.010000000000000009</v>
      </c>
      <c r="L236" s="2">
        <v>0.04877919899400363</v>
      </c>
      <c r="Q236">
        <v>0.37908970448284246</v>
      </c>
      <c r="R236">
        <f t="shared" si="2"/>
        <v>0.010000000000000009</v>
      </c>
      <c r="S236">
        <v>0.04114098291346612</v>
      </c>
    </row>
    <row r="237" spans="1:19" ht="12.75">
      <c r="A237" s="1">
        <f>DATE(1950,6,1)</f>
        <v>18415</v>
      </c>
      <c r="B237">
        <v>1950</v>
      </c>
      <c r="C237">
        <v>6</v>
      </c>
      <c r="D237">
        <v>1.17</v>
      </c>
      <c r="F237">
        <v>0.42600808528996137</v>
      </c>
      <c r="I237">
        <v>0.8229426433915162</v>
      </c>
      <c r="J237" s="2">
        <v>23721.83997611943</v>
      </c>
      <c r="K237">
        <f t="shared" si="1"/>
        <v>0</v>
      </c>
      <c r="L237" s="2">
        <v>-0.006877790628764599</v>
      </c>
      <c r="Q237">
        <v>0.37567366861186924</v>
      </c>
      <c r="R237">
        <f t="shared" si="2"/>
        <v>0</v>
      </c>
      <c r="S237">
        <v>0.03654854704398608</v>
      </c>
    </row>
    <row r="238" spans="1:19" ht="12.75">
      <c r="A238" s="1">
        <f>DATE(1950,7,1)</f>
        <v>18445</v>
      </c>
      <c r="B238">
        <v>1950</v>
      </c>
      <c r="C238">
        <v>7</v>
      </c>
      <c r="D238">
        <v>1.17</v>
      </c>
      <c r="F238">
        <v>0.4202562105454359</v>
      </c>
      <c r="I238">
        <v>0.8204488778054813</v>
      </c>
      <c r="J238" s="2">
        <v>23992.440793278525</v>
      </c>
      <c r="K238">
        <f aca="true" t="shared" si="3" ref="K238:K301">D238-D237</f>
        <v>0</v>
      </c>
      <c r="L238" s="2">
        <v>-0.02404586272551522</v>
      </c>
      <c r="Q238">
        <v>0.3713423457265647</v>
      </c>
      <c r="R238">
        <f t="shared" si="2"/>
        <v>0</v>
      </c>
      <c r="S238">
        <v>0.04355600717981416</v>
      </c>
    </row>
    <row r="239" spans="1:19" ht="12.75">
      <c r="A239" s="1">
        <f>DATE(1950,8,1)</f>
        <v>18476</v>
      </c>
      <c r="B239">
        <v>1950</v>
      </c>
      <c r="C239">
        <v>8</v>
      </c>
      <c r="D239">
        <v>1.21</v>
      </c>
      <c r="F239">
        <v>0.4151891710092604</v>
      </c>
      <c r="I239">
        <v>0.8179551122194463</v>
      </c>
      <c r="J239" s="2">
        <v>24261.39912065211</v>
      </c>
      <c r="K239">
        <f t="shared" si="3"/>
        <v>0.040000000000000036</v>
      </c>
      <c r="L239" s="2">
        <v>0.053180652792093476</v>
      </c>
      <c r="Q239">
        <v>0.36700326629963603</v>
      </c>
      <c r="R239">
        <f t="shared" si="2"/>
        <v>0.040000000000000036</v>
      </c>
      <c r="S239">
        <v>-0.003231610604821596</v>
      </c>
    </row>
    <row r="240" spans="1:19" ht="12.75">
      <c r="A240" s="1">
        <f>DATE(1950,9,1)</f>
        <v>18507</v>
      </c>
      <c r="B240">
        <v>1950</v>
      </c>
      <c r="C240">
        <v>9</v>
      </c>
      <c r="D240">
        <v>1.31</v>
      </c>
      <c r="F240">
        <v>0.41018590009763334</v>
      </c>
      <c r="I240">
        <v>0.8154613466334114</v>
      </c>
      <c r="J240" s="2">
        <v>24528.719958209087</v>
      </c>
      <c r="K240">
        <f t="shared" si="3"/>
        <v>0.10000000000000009</v>
      </c>
      <c r="L240" s="2">
        <v>0.014835309878715616</v>
      </c>
      <c r="Q240">
        <v>0.36246560283602836</v>
      </c>
      <c r="R240">
        <f t="shared" si="2"/>
        <v>0.10000000000000009</v>
      </c>
      <c r="S240">
        <v>0.010769382405367758</v>
      </c>
    </row>
    <row r="241" spans="1:19" ht="12.75">
      <c r="A241" s="1">
        <f>DATE(1950,10,1)</f>
        <v>18537</v>
      </c>
      <c r="B241">
        <v>1950</v>
      </c>
      <c r="C241">
        <v>10</v>
      </c>
      <c r="D241">
        <v>1.33</v>
      </c>
      <c r="F241">
        <v>0.4056421223400541</v>
      </c>
      <c r="I241">
        <v>0.8129675810473765</v>
      </c>
      <c r="J241" s="2">
        <v>24794.408305918365</v>
      </c>
      <c r="K241">
        <f t="shared" si="3"/>
        <v>0.020000000000000018</v>
      </c>
      <c r="L241" s="2">
        <v>-0.05396238612186173</v>
      </c>
      <c r="Q241">
        <v>0.3586542429616656</v>
      </c>
      <c r="R241">
        <f t="shared" si="2"/>
        <v>0.020000000000000018</v>
      </c>
      <c r="S241">
        <v>-0.038142215879681154</v>
      </c>
    </row>
    <row r="242" spans="1:19" ht="12.75">
      <c r="A242" s="1">
        <f>DATE(1950,11,1)</f>
        <v>18568</v>
      </c>
      <c r="B242">
        <v>1950</v>
      </c>
      <c r="C242">
        <v>11</v>
      </c>
      <c r="D242">
        <v>1.36</v>
      </c>
      <c r="F242">
        <v>0.40219090845711913</v>
      </c>
      <c r="I242">
        <v>0.8104738154613416</v>
      </c>
      <c r="J242" s="2">
        <v>25058.469163748847</v>
      </c>
      <c r="K242">
        <f t="shared" si="3"/>
        <v>0.030000000000000027</v>
      </c>
      <c r="L242" s="2">
        <v>0.007181491936082794</v>
      </c>
      <c r="Q242">
        <v>0.35554146926607594</v>
      </c>
      <c r="R242">
        <f t="shared" si="2"/>
        <v>0.030000000000000027</v>
      </c>
      <c r="S242">
        <v>-0.037025496878717847</v>
      </c>
    </row>
    <row r="243" spans="1:19" ht="12.75">
      <c r="A243" s="1">
        <f>DATE(1950,12,1)</f>
        <v>18598</v>
      </c>
      <c r="B243">
        <v>1950</v>
      </c>
      <c r="C243">
        <v>12</v>
      </c>
      <c r="D243">
        <v>1.37</v>
      </c>
      <c r="F243">
        <v>0.3987336085174981</v>
      </c>
      <c r="I243">
        <v>0.8079800498753067</v>
      </c>
      <c r="J243" s="2">
        <v>25320.90753166944</v>
      </c>
      <c r="K243">
        <f t="shared" si="3"/>
        <v>0.010000000000000009</v>
      </c>
      <c r="L243" s="2">
        <v>0.017241588193839814</v>
      </c>
      <c r="Q243">
        <v>0.35178393484358716</v>
      </c>
      <c r="R243">
        <f t="shared" si="2"/>
        <v>0.010000000000000009</v>
      </c>
      <c r="S243">
        <v>0.032516499940189354</v>
      </c>
    </row>
    <row r="244" spans="1:19" ht="12.75">
      <c r="A244" s="1">
        <f>DATE(1951,1,1)</f>
        <v>18629</v>
      </c>
      <c r="B244">
        <v>1951</v>
      </c>
      <c r="C244">
        <v>1</v>
      </c>
      <c r="D244">
        <v>1.39</v>
      </c>
      <c r="F244">
        <v>0.3940677948911362</v>
      </c>
      <c r="I244">
        <v>0.8054862842892718</v>
      </c>
      <c r="J244" s="2">
        <v>25581.72840964905</v>
      </c>
      <c r="K244">
        <f t="shared" si="3"/>
        <v>0.019999999999999796</v>
      </c>
      <c r="L244" s="2">
        <v>0.0021089641920804332</v>
      </c>
      <c r="Q244">
        <v>0.34785710218506766</v>
      </c>
      <c r="R244">
        <f t="shared" si="2"/>
        <v>0.019999999999999796</v>
      </c>
      <c r="S244">
        <v>0.006966041159359298</v>
      </c>
    </row>
    <row r="245" spans="1:19" ht="12.75">
      <c r="A245" s="1">
        <f>DATE(1951,2,1)</f>
        <v>18660</v>
      </c>
      <c r="B245">
        <v>1951</v>
      </c>
      <c r="C245">
        <v>2</v>
      </c>
      <c r="D245">
        <v>1.39</v>
      </c>
      <c r="F245">
        <v>0.38905899371901276</v>
      </c>
      <c r="I245">
        <v>0.802992518703237</v>
      </c>
      <c r="J245" s="2">
        <v>25840.936797656585</v>
      </c>
      <c r="K245">
        <f t="shared" si="3"/>
        <v>0</v>
      </c>
      <c r="L245" s="2">
        <v>-0.031213097675882102</v>
      </c>
      <c r="Q245">
        <v>0.3442237788459847</v>
      </c>
      <c r="R245">
        <f t="shared" si="2"/>
        <v>0</v>
      </c>
      <c r="S245">
        <v>-0.01622847314614787</v>
      </c>
    </row>
    <row r="246" spans="1:19" ht="12.75">
      <c r="A246" s="1">
        <f>DATE(1951,3,1)</f>
        <v>18688</v>
      </c>
      <c r="B246">
        <v>1951</v>
      </c>
      <c r="C246">
        <v>3</v>
      </c>
      <c r="D246">
        <v>1.42</v>
      </c>
      <c r="F246">
        <v>0.38418394964454194</v>
      </c>
      <c r="I246">
        <v>0.8004987531172021</v>
      </c>
      <c r="J246" s="2">
        <v>26098.537695660947</v>
      </c>
      <c r="K246">
        <f t="shared" si="3"/>
        <v>0.030000000000000027</v>
      </c>
      <c r="L246" s="2">
        <v>-0.03806656245926328</v>
      </c>
      <c r="Q246">
        <v>0.3401698934555002</v>
      </c>
      <c r="R246">
        <f t="shared" si="2"/>
        <v>0.030000000000000027</v>
      </c>
      <c r="S246">
        <v>0.02181066067833231</v>
      </c>
    </row>
    <row r="247" spans="1:19" ht="12.75">
      <c r="A247" s="1">
        <f>DATE(1951,4,1)</f>
        <v>18719</v>
      </c>
      <c r="B247">
        <v>1951</v>
      </c>
      <c r="C247">
        <v>4</v>
      </c>
      <c r="D247">
        <v>1.52</v>
      </c>
      <c r="F247">
        <v>0.38030962220884523</v>
      </c>
      <c r="I247">
        <v>0.7980049875311671</v>
      </c>
      <c r="J247" s="2">
        <v>26354.536103631042</v>
      </c>
      <c r="K247">
        <f t="shared" si="3"/>
        <v>0.10000000000000009</v>
      </c>
      <c r="L247" s="2">
        <v>-0.004188843088186343</v>
      </c>
      <c r="Q247">
        <v>0.33557793491875604</v>
      </c>
      <c r="R247">
        <f t="shared" si="2"/>
        <v>0.10000000000000009</v>
      </c>
      <c r="S247">
        <v>0.030509136805106873</v>
      </c>
    </row>
    <row r="248" spans="1:19" ht="12.75">
      <c r="A248" s="1">
        <f>DATE(1951,5,1)</f>
        <v>18749</v>
      </c>
      <c r="B248">
        <v>1951</v>
      </c>
      <c r="C248">
        <v>5</v>
      </c>
      <c r="D248">
        <v>1.58</v>
      </c>
      <c r="F248">
        <v>0.3752108244901793</v>
      </c>
      <c r="I248">
        <v>0.7955112219451322</v>
      </c>
      <c r="J248" s="2">
        <v>26608.937021535778</v>
      </c>
      <c r="K248">
        <f t="shared" si="3"/>
        <v>0.06000000000000005</v>
      </c>
      <c r="L248" s="2">
        <v>0.03962536650021396</v>
      </c>
      <c r="Q248">
        <v>0.33022878895509156</v>
      </c>
      <c r="R248">
        <f t="shared" si="2"/>
        <v>0.06000000000000005</v>
      </c>
      <c r="S248">
        <v>0.03965105773832636</v>
      </c>
    </row>
    <row r="249" spans="1:19" ht="12.75">
      <c r="A249" s="1">
        <f>DATE(1951,6,1)</f>
        <v>18780</v>
      </c>
      <c r="B249">
        <v>1951</v>
      </c>
      <c r="C249">
        <v>6</v>
      </c>
      <c r="D249">
        <v>1.5</v>
      </c>
      <c r="F249">
        <v>0.3690884028424853</v>
      </c>
      <c r="I249">
        <v>0.7930174563590974</v>
      </c>
      <c r="J249" s="2">
        <v>26861.74544934406</v>
      </c>
      <c r="K249">
        <f t="shared" si="3"/>
        <v>-0.08000000000000007</v>
      </c>
      <c r="L249" s="2">
        <v>-0.019857238592280845</v>
      </c>
      <c r="Q249">
        <v>0.3249664998022145</v>
      </c>
      <c r="R249">
        <f t="shared" si="2"/>
        <v>-0.08000000000000007</v>
      </c>
      <c r="S249">
        <v>-0.006529704954389904</v>
      </c>
    </row>
    <row r="250" spans="1:19" ht="12.75">
      <c r="A250" s="1">
        <f>DATE(1951,7,1)</f>
        <v>18810</v>
      </c>
      <c r="B250">
        <v>1951</v>
      </c>
      <c r="C250">
        <v>7</v>
      </c>
      <c r="D250">
        <v>1.59</v>
      </c>
      <c r="F250">
        <v>0.36371822334145376</v>
      </c>
      <c r="I250">
        <v>0.7905236907730625</v>
      </c>
      <c r="J250" s="2">
        <v>27112.966387024793</v>
      </c>
      <c r="K250">
        <f t="shared" si="3"/>
        <v>0.09000000000000008</v>
      </c>
      <c r="L250" s="2">
        <v>0.0088877668981799</v>
      </c>
      <c r="Q250">
        <v>0.3211087054994746</v>
      </c>
      <c r="R250">
        <f t="shared" si="2"/>
        <v>0.09000000000000008</v>
      </c>
      <c r="S250">
        <v>-0.06856985431472455</v>
      </c>
    </row>
    <row r="251" spans="1:19" ht="12.75">
      <c r="A251" s="1">
        <f>DATE(1951,8,1)</f>
        <v>18841</v>
      </c>
      <c r="B251">
        <v>1951</v>
      </c>
      <c r="C251">
        <v>8</v>
      </c>
      <c r="D251">
        <v>1.64</v>
      </c>
      <c r="F251">
        <v>0.3602860373738829</v>
      </c>
      <c r="I251">
        <v>0.7880299251870276</v>
      </c>
      <c r="J251" s="2">
        <v>27362.604834546884</v>
      </c>
      <c r="K251">
        <f t="shared" si="3"/>
        <v>0.04999999999999982</v>
      </c>
      <c r="L251" s="2">
        <v>0.013813326751269667</v>
      </c>
      <c r="Q251">
        <v>0.31764097833084587</v>
      </c>
      <c r="R251">
        <f t="shared" si="2"/>
        <v>0.04999999999999982</v>
      </c>
      <c r="S251">
        <v>-0.018817748785381852</v>
      </c>
    </row>
    <row r="252" spans="1:19" ht="12.75">
      <c r="A252" s="1">
        <f>DATE(1951,9,1)</f>
        <v>18872</v>
      </c>
      <c r="B252">
        <v>1951</v>
      </c>
      <c r="C252">
        <v>9</v>
      </c>
      <c r="D252">
        <v>1.65</v>
      </c>
      <c r="F252">
        <v>0.35654558137779124</v>
      </c>
      <c r="I252">
        <v>0.7855361596009927</v>
      </c>
      <c r="J252" s="2">
        <v>27610.665791879237</v>
      </c>
      <c r="K252">
        <f t="shared" si="3"/>
        <v>0.010000000000000009</v>
      </c>
      <c r="L252" s="2">
        <v>0.09281984552487206</v>
      </c>
      <c r="Q252">
        <v>0.3132517246431478</v>
      </c>
      <c r="R252">
        <f t="shared" si="2"/>
        <v>0.010000000000000009</v>
      </c>
      <c r="S252">
        <v>0.04718736701982797</v>
      </c>
    </row>
    <row r="253" spans="1:19" ht="12.75">
      <c r="A253" s="1">
        <f>DATE(1951,10,1)</f>
        <v>18902</v>
      </c>
      <c r="B253">
        <v>1951</v>
      </c>
      <c r="C253">
        <v>10</v>
      </c>
      <c r="D253">
        <v>1.61</v>
      </c>
      <c r="F253">
        <v>0.35280974680049426</v>
      </c>
      <c r="I253">
        <v>0.7830423940149578</v>
      </c>
      <c r="J253" s="2">
        <v>27857.15425899076</v>
      </c>
      <c r="K253">
        <f t="shared" si="3"/>
        <v>-0.039999999999999813</v>
      </c>
      <c r="L253" s="2">
        <v>0.05771896938612944</v>
      </c>
      <c r="Q253">
        <v>0.307735928230342</v>
      </c>
      <c r="R253">
        <f t="shared" si="2"/>
        <v>-0.039999999999999813</v>
      </c>
      <c r="S253">
        <v>0.0563503440371212</v>
      </c>
    </row>
    <row r="254" spans="1:19" ht="12.75">
      <c r="A254" s="1">
        <f>DATE(1951,11,1)</f>
        <v>18933</v>
      </c>
      <c r="B254">
        <v>1951</v>
      </c>
      <c r="C254">
        <v>11</v>
      </c>
      <c r="D254">
        <v>1.61</v>
      </c>
      <c r="F254">
        <v>0.3478430930149303</v>
      </c>
      <c r="I254">
        <v>0.7805486284289229</v>
      </c>
      <c r="J254" s="2">
        <v>28102.075235850352</v>
      </c>
      <c r="K254">
        <f t="shared" si="3"/>
        <v>0</v>
      </c>
      <c r="L254" s="2">
        <v>-0.06524813732370079</v>
      </c>
      <c r="Q254">
        <v>0.30105363543349745</v>
      </c>
      <c r="R254">
        <f t="shared" si="2"/>
        <v>0</v>
      </c>
      <c r="S254">
        <v>0.058726404149524486</v>
      </c>
    </row>
    <row r="255" spans="1:19" ht="12.75">
      <c r="A255" s="1">
        <f>DATE(1951,12,1)</f>
        <v>18963</v>
      </c>
      <c r="B255">
        <v>1951</v>
      </c>
      <c r="C255">
        <v>12</v>
      </c>
      <c r="D255">
        <v>1.73</v>
      </c>
      <c r="F255">
        <v>0.34228941354135517</v>
      </c>
      <c r="I255">
        <v>0.778054862842888</v>
      </c>
      <c r="J255" s="2">
        <v>28345.433722426926</v>
      </c>
      <c r="K255">
        <f t="shared" si="3"/>
        <v>0.11999999999999988</v>
      </c>
      <c r="L255" s="2">
        <v>-0.03671579190273938</v>
      </c>
      <c r="Q255">
        <v>0.294374433151162</v>
      </c>
      <c r="R255">
        <f aca="true" t="shared" si="4" ref="R255:R318">D255-D254</f>
        <v>0.11999999999999988</v>
      </c>
      <c r="S255">
        <v>0.0016549649215207203</v>
      </c>
    </row>
    <row r="256" spans="1:19" ht="12.75">
      <c r="A256" s="1">
        <f>DATE(1952,1,1)</f>
        <v>18994</v>
      </c>
      <c r="B256">
        <v>1952</v>
      </c>
      <c r="C256">
        <v>1</v>
      </c>
      <c r="D256">
        <v>1.69</v>
      </c>
      <c r="F256">
        <v>0.33651484132995196</v>
      </c>
      <c r="I256">
        <v>0.7755610972568532</v>
      </c>
      <c r="J256" s="2">
        <v>28587.234718689382</v>
      </c>
      <c r="K256">
        <f t="shared" si="3"/>
        <v>-0.040000000000000036</v>
      </c>
      <c r="L256" s="2">
        <v>-0.025299571667089755</v>
      </c>
      <c r="Q256">
        <v>0.2870453227425453</v>
      </c>
      <c r="R256">
        <f t="shared" si="4"/>
        <v>-0.040000000000000036</v>
      </c>
      <c r="S256">
        <v>0.03157255550041085</v>
      </c>
    </row>
    <row r="257" spans="1:19" ht="12.75">
      <c r="A257" s="1">
        <f>DATE(1952,2,1)</f>
        <v>19025</v>
      </c>
      <c r="B257">
        <v>1952</v>
      </c>
      <c r="C257">
        <v>2</v>
      </c>
      <c r="D257">
        <v>1.57</v>
      </c>
      <c r="F257">
        <v>0.3303456219967206</v>
      </c>
      <c r="I257">
        <v>0.7730673316708182</v>
      </c>
      <c r="J257" s="2">
        <v>28827.483224606633</v>
      </c>
      <c r="K257">
        <f t="shared" si="3"/>
        <v>-0.11999999999999988</v>
      </c>
      <c r="L257" s="2">
        <v>0.01049728642764801</v>
      </c>
      <c r="Q257">
        <v>0.2792369660790637</v>
      </c>
      <c r="R257">
        <f t="shared" si="4"/>
        <v>-0.11999999999999988</v>
      </c>
      <c r="S257">
        <v>0.017559280360965945</v>
      </c>
    </row>
    <row r="258" spans="1:19" ht="12.75">
      <c r="A258" s="1">
        <f>DATE(1952,3,1)</f>
        <v>19054</v>
      </c>
      <c r="B258">
        <v>1952</v>
      </c>
      <c r="C258">
        <v>3</v>
      </c>
      <c r="D258">
        <v>1.66</v>
      </c>
      <c r="F258">
        <v>0.32351095254175405</v>
      </c>
      <c r="I258">
        <v>0.7705735660847833</v>
      </c>
      <c r="J258" s="2">
        <v>29066.184240147577</v>
      </c>
      <c r="K258">
        <f t="shared" si="3"/>
        <v>0.08999999999999986</v>
      </c>
      <c r="L258" s="2">
        <v>-0.01864926285014568</v>
      </c>
      <c r="Q258">
        <v>0.27193877865153987</v>
      </c>
      <c r="R258">
        <f t="shared" si="4"/>
        <v>0.08999999999999986</v>
      </c>
      <c r="S258">
        <v>-0.025334342883036924</v>
      </c>
    </row>
    <row r="259" spans="1:19" ht="12.75">
      <c r="A259" s="1">
        <f>DATE(1952,4,1)</f>
        <v>19085</v>
      </c>
      <c r="B259">
        <v>1952</v>
      </c>
      <c r="C259">
        <v>4</v>
      </c>
      <c r="D259">
        <v>1.62</v>
      </c>
      <c r="F259">
        <v>0.3174066417162413</v>
      </c>
      <c r="I259">
        <v>0.7680798004987485</v>
      </c>
      <c r="J259" s="2">
        <v>29303.342765281122</v>
      </c>
      <c r="K259">
        <f t="shared" si="3"/>
        <v>-0.039999999999999813</v>
      </c>
      <c r="L259" s="2">
        <v>-0.05409895491371044</v>
      </c>
      <c r="Q259">
        <v>0.2650488150585518</v>
      </c>
      <c r="R259">
        <f t="shared" si="4"/>
        <v>-0.039999999999999813</v>
      </c>
      <c r="S259">
        <v>-0.02545270947715013</v>
      </c>
    </row>
    <row r="260" spans="1:19" ht="12.75">
      <c r="A260" s="1">
        <f>DATE(1952,5,1)</f>
        <v>19115</v>
      </c>
      <c r="B260">
        <v>1952</v>
      </c>
      <c r="C260">
        <v>5</v>
      </c>
      <c r="D260">
        <v>1.71</v>
      </c>
      <c r="F260">
        <v>0.3111074138153321</v>
      </c>
      <c r="I260">
        <v>0.7655860349127136</v>
      </c>
      <c r="J260" s="2">
        <v>29538.963799976176</v>
      </c>
      <c r="K260">
        <f t="shared" si="3"/>
        <v>0.08999999999999986</v>
      </c>
      <c r="L260" s="2">
        <v>-0.007219292868382021</v>
      </c>
      <c r="Q260">
        <v>0.25831921003918634</v>
      </c>
      <c r="R260">
        <f t="shared" si="4"/>
        <v>0.08999999999999986</v>
      </c>
      <c r="S260">
        <v>-0.006932553267551215</v>
      </c>
    </row>
    <row r="261" spans="1:19" ht="12.75">
      <c r="A261" s="1">
        <f>DATE(1952,6,1)</f>
        <v>19146</v>
      </c>
      <c r="B261">
        <v>1952</v>
      </c>
      <c r="C261">
        <v>6</v>
      </c>
      <c r="D261">
        <v>1.7</v>
      </c>
      <c r="F261">
        <v>0.30532049797762884</v>
      </c>
      <c r="I261">
        <v>0.7630922693266786</v>
      </c>
      <c r="J261" s="2">
        <v>29773.052344201646</v>
      </c>
      <c r="K261">
        <f t="shared" si="3"/>
        <v>-0.010000000000000009</v>
      </c>
      <c r="L261" s="2">
        <v>0.042173898217333916</v>
      </c>
      <c r="Q261">
        <v>0.25146952280889534</v>
      </c>
      <c r="R261">
        <f t="shared" si="4"/>
        <v>-0.010000000000000009</v>
      </c>
      <c r="S261">
        <v>0.008511632185133903</v>
      </c>
    </row>
    <row r="262" spans="1:19" ht="12.75">
      <c r="A262" s="1">
        <f>DATE(1952,7,1)</f>
        <v>19176</v>
      </c>
      <c r="B262">
        <v>1952</v>
      </c>
      <c r="C262">
        <v>7</v>
      </c>
      <c r="D262">
        <v>1.82</v>
      </c>
      <c r="F262">
        <v>0.299266326098099</v>
      </c>
      <c r="I262">
        <v>0.7605985037406437</v>
      </c>
      <c r="J262" s="2">
        <v>30005.613397926434</v>
      </c>
      <c r="K262">
        <f t="shared" si="3"/>
        <v>0.1200000000000001</v>
      </c>
      <c r="L262" s="2">
        <v>0.07989057257032234</v>
      </c>
      <c r="Q262">
        <v>0.24511519216307975</v>
      </c>
      <c r="R262">
        <f t="shared" si="4"/>
        <v>0.1200000000000001</v>
      </c>
      <c r="S262">
        <v>-0.020266547576118083</v>
      </c>
    </row>
    <row r="263" spans="1:19" ht="12.75">
      <c r="A263" s="1">
        <f>DATE(1952,8,1)</f>
        <v>19207</v>
      </c>
      <c r="B263">
        <v>1952</v>
      </c>
      <c r="C263">
        <v>8</v>
      </c>
      <c r="D263">
        <v>1.88</v>
      </c>
      <c r="F263">
        <v>0.2934630664339479</v>
      </c>
      <c r="I263">
        <v>0.7581047381546089</v>
      </c>
      <c r="J263" s="2">
        <v>30236.651961119445</v>
      </c>
      <c r="K263">
        <f t="shared" si="3"/>
        <v>0.05999999999999983</v>
      </c>
      <c r="L263" s="2">
        <v>-0.03304940057302055</v>
      </c>
      <c r="Q263">
        <v>0.23878671382964964</v>
      </c>
      <c r="R263">
        <f t="shared" si="4"/>
        <v>0.05999999999999983</v>
      </c>
      <c r="S263">
        <v>0.001998893232701388</v>
      </c>
    </row>
    <row r="264" spans="1:19" ht="12.75">
      <c r="A264" s="1">
        <f>DATE(1952,9,1)</f>
        <v>19238</v>
      </c>
      <c r="B264">
        <v>1952</v>
      </c>
      <c r="C264">
        <v>9</v>
      </c>
      <c r="D264">
        <v>1.79</v>
      </c>
      <c r="F264">
        <v>0.28826210123414975</v>
      </c>
      <c r="I264">
        <v>0.755610972568574</v>
      </c>
      <c r="J264" s="2">
        <v>30466.173033749586</v>
      </c>
      <c r="K264">
        <f t="shared" si="3"/>
        <v>-0.08999999999999986</v>
      </c>
      <c r="L264" s="2">
        <v>0.0002659474901697035</v>
      </c>
      <c r="Q264">
        <v>0.23206494126460198</v>
      </c>
      <c r="R264">
        <f t="shared" si="4"/>
        <v>-0.08999999999999986</v>
      </c>
      <c r="S264">
        <v>0.020516030722488532</v>
      </c>
    </row>
    <row r="265" spans="1:19" ht="12.75">
      <c r="A265" s="1">
        <f>DATE(1952,10,1)</f>
        <v>19268</v>
      </c>
      <c r="B265">
        <v>1952</v>
      </c>
      <c r="C265">
        <v>10</v>
      </c>
      <c r="D265">
        <v>1.78</v>
      </c>
      <c r="F265">
        <v>0.2822822769672997</v>
      </c>
      <c r="I265">
        <v>0.7531172069825391</v>
      </c>
      <c r="J265" s="2">
        <v>30694.181615785765</v>
      </c>
      <c r="K265">
        <f t="shared" si="3"/>
        <v>-0.010000000000000009</v>
      </c>
      <c r="L265" s="2">
        <v>0.0277655465139144</v>
      </c>
      <c r="Q265">
        <v>0.22509060551023943</v>
      </c>
      <c r="R265">
        <f t="shared" si="4"/>
        <v>-0.010000000000000009</v>
      </c>
      <c r="S265">
        <v>0.01530048898610351</v>
      </c>
    </row>
    <row r="266" spans="1:19" ht="12.75">
      <c r="A266" s="1">
        <f>DATE(1952,11,1)</f>
        <v>19299</v>
      </c>
      <c r="B266">
        <v>1952</v>
      </c>
      <c r="C266">
        <v>11</v>
      </c>
      <c r="D266">
        <v>1.86</v>
      </c>
      <c r="F266">
        <v>0.2752010084639921</v>
      </c>
      <c r="I266">
        <v>0.7506234413965042</v>
      </c>
      <c r="J266" s="2">
        <v>30920.682707196884</v>
      </c>
      <c r="K266">
        <f t="shared" si="3"/>
        <v>0.08000000000000007</v>
      </c>
      <c r="L266" s="2">
        <v>0.0421557586362236</v>
      </c>
      <c r="Q266">
        <v>0.21815690948201688</v>
      </c>
      <c r="R266">
        <f t="shared" si="4"/>
        <v>0.08000000000000007</v>
      </c>
      <c r="S266">
        <v>0.0011380182404603929</v>
      </c>
    </row>
    <row r="267" spans="1:19" ht="12.75">
      <c r="A267" s="1">
        <f>DATE(1952,12,1)</f>
        <v>19329</v>
      </c>
      <c r="B267">
        <v>1952</v>
      </c>
      <c r="C267">
        <v>12</v>
      </c>
      <c r="D267">
        <v>2.13</v>
      </c>
      <c r="F267">
        <v>0.26688748735227624</v>
      </c>
      <c r="I267">
        <v>0.7481296758104693</v>
      </c>
      <c r="J267" s="2">
        <v>31145.68130795185</v>
      </c>
      <c r="K267">
        <f t="shared" si="3"/>
        <v>0.2699999999999998</v>
      </c>
      <c r="L267" s="2">
        <v>0.02311433199574338</v>
      </c>
      <c r="Q267">
        <v>0.21139111160437546</v>
      </c>
      <c r="R267">
        <f t="shared" si="4"/>
        <v>0.2699999999999998</v>
      </c>
      <c r="S267">
        <v>0.001752003340393274</v>
      </c>
    </row>
    <row r="268" spans="1:19" ht="12.75">
      <c r="A268" s="1">
        <f>DATE(1953,1,1)</f>
        <v>19360</v>
      </c>
      <c r="B268">
        <v>1953</v>
      </c>
      <c r="C268">
        <v>1</v>
      </c>
      <c r="D268">
        <v>2.04</v>
      </c>
      <c r="F268">
        <v>0.25799661187776285</v>
      </c>
      <c r="I268">
        <v>0.7456359102244344</v>
      </c>
      <c r="J268" s="2">
        <v>31369.182418019573</v>
      </c>
      <c r="K268">
        <f t="shared" si="3"/>
        <v>-0.08999999999999986</v>
      </c>
      <c r="L268" s="2">
        <v>-0.028622416092630904</v>
      </c>
      <c r="Q268">
        <v>0.20506073708955555</v>
      </c>
      <c r="R268">
        <f t="shared" si="4"/>
        <v>-0.08999999999999986</v>
      </c>
      <c r="S268">
        <v>-0.023079030849257512</v>
      </c>
    </row>
    <row r="269" spans="1:19" ht="12.75">
      <c r="A269" s="1">
        <f>DATE(1953,2,1)</f>
        <v>19391</v>
      </c>
      <c r="B269">
        <v>1953</v>
      </c>
      <c r="C269">
        <v>2</v>
      </c>
      <c r="D269">
        <v>2.02</v>
      </c>
      <c r="F269">
        <v>0.24906408528433793</v>
      </c>
      <c r="I269">
        <v>0.7431421446383996</v>
      </c>
      <c r="J269" s="2">
        <v>31591.191037368953</v>
      </c>
      <c r="K269">
        <f t="shared" si="3"/>
        <v>-0.020000000000000018</v>
      </c>
      <c r="L269" s="2">
        <v>0.036610086243801805</v>
      </c>
      <c r="Q269">
        <v>0.19906325164914682</v>
      </c>
      <c r="R269">
        <f t="shared" si="4"/>
        <v>-0.020000000000000018</v>
      </c>
      <c r="S269">
        <v>-0.01603800747764673</v>
      </c>
    </row>
    <row r="270" spans="1:19" ht="12.75">
      <c r="A270" s="1">
        <f>DATE(1953,3,1)</f>
        <v>19419</v>
      </c>
      <c r="B270">
        <v>1953</v>
      </c>
      <c r="C270">
        <v>3</v>
      </c>
      <c r="D270">
        <v>2.08</v>
      </c>
      <c r="F270">
        <v>0.24068459534958442</v>
      </c>
      <c r="I270">
        <v>0.7406483790523647</v>
      </c>
      <c r="J270" s="2">
        <v>31811.712165968896</v>
      </c>
      <c r="K270">
        <f t="shared" si="3"/>
        <v>0.06000000000000005</v>
      </c>
      <c r="L270" s="2">
        <v>-0.024653637397014795</v>
      </c>
      <c r="Q270">
        <v>0.19285441746750287</v>
      </c>
      <c r="R270">
        <f t="shared" si="4"/>
        <v>0.06000000000000005</v>
      </c>
      <c r="S270">
        <v>0.01457282697209756</v>
      </c>
    </row>
    <row r="271" spans="1:19" ht="12.75">
      <c r="A271" s="1">
        <f>DATE(1953,4,1)</f>
        <v>19450</v>
      </c>
      <c r="B271">
        <v>1953</v>
      </c>
      <c r="C271">
        <v>4</v>
      </c>
      <c r="D271">
        <v>2.18</v>
      </c>
      <c r="F271">
        <v>0.2329741832412814</v>
      </c>
      <c r="I271">
        <v>0.7381546134663297</v>
      </c>
      <c r="J271" s="2">
        <v>32030.75080378831</v>
      </c>
      <c r="K271">
        <f t="shared" si="3"/>
        <v>0.10000000000000009</v>
      </c>
      <c r="L271" s="2">
        <v>-0.011812614713788212</v>
      </c>
      <c r="Q271">
        <v>0.18716678160880995</v>
      </c>
      <c r="R271">
        <f t="shared" si="4"/>
        <v>0.10000000000000009</v>
      </c>
      <c r="S271">
        <v>-0.020664137930850885</v>
      </c>
    </row>
    <row r="272" spans="1:19" ht="12.75">
      <c r="A272" s="1">
        <f>DATE(1953,5,1)</f>
        <v>19480</v>
      </c>
      <c r="B272">
        <v>1953</v>
      </c>
      <c r="C272">
        <v>5</v>
      </c>
      <c r="D272">
        <v>2.2</v>
      </c>
      <c r="F272">
        <v>0.2255750063901636</v>
      </c>
      <c r="I272">
        <v>0.7356608478802948</v>
      </c>
      <c r="J272" s="2">
        <v>32248.3119507961</v>
      </c>
      <c r="K272">
        <f t="shared" si="3"/>
        <v>0.020000000000000018</v>
      </c>
      <c r="L272" s="2">
        <v>-0.017907697212456827</v>
      </c>
      <c r="Q272">
        <v>0.18234603398288649</v>
      </c>
      <c r="R272">
        <f t="shared" si="4"/>
        <v>0.020000000000000018</v>
      </c>
      <c r="S272">
        <v>-0.04211326232488691</v>
      </c>
    </row>
    <row r="273" spans="1:19" ht="12.75">
      <c r="A273" s="1">
        <f>DATE(1953,6,1)</f>
        <v>19511</v>
      </c>
      <c r="B273">
        <v>1953</v>
      </c>
      <c r="C273">
        <v>6</v>
      </c>
      <c r="D273">
        <v>2.23</v>
      </c>
      <c r="F273">
        <v>0.21876307389130553</v>
      </c>
      <c r="I273">
        <v>0.73316708229426</v>
      </c>
      <c r="J273" s="2">
        <v>32464.400606961168</v>
      </c>
      <c r="K273">
        <f t="shared" si="3"/>
        <v>0.029999999999999805</v>
      </c>
      <c r="L273" s="2">
        <v>-0.00026652124274881685</v>
      </c>
      <c r="Q273">
        <v>0.17882548586389055</v>
      </c>
      <c r="R273">
        <f t="shared" si="4"/>
        <v>0.029999999999999805</v>
      </c>
      <c r="S273">
        <v>-0.066109884367923</v>
      </c>
    </row>
    <row r="274" spans="1:19" ht="12.75">
      <c r="A274" s="1">
        <f>DATE(1953,7,1)</f>
        <v>19541</v>
      </c>
      <c r="B274">
        <v>1953</v>
      </c>
      <c r="C274">
        <v>7</v>
      </c>
      <c r="D274">
        <v>2.1</v>
      </c>
      <c r="F274">
        <v>0.2132024950007666</v>
      </c>
      <c r="I274">
        <v>0.7306733167082251</v>
      </c>
      <c r="J274" s="2">
        <v>32679.021772252425</v>
      </c>
      <c r="K274">
        <f t="shared" si="3"/>
        <v>-0.1299999999999999</v>
      </c>
      <c r="L274" s="2">
        <v>-0.01588597364541272</v>
      </c>
      <c r="Q274">
        <v>0.17596778241174726</v>
      </c>
      <c r="R274">
        <f t="shared" si="4"/>
        <v>-0.1299999999999999</v>
      </c>
      <c r="S274">
        <v>-0.04050064253417163</v>
      </c>
    </row>
    <row r="275" spans="1:19" ht="12.75">
      <c r="A275" s="1">
        <f>DATE(1953,8,1)</f>
        <v>19572</v>
      </c>
      <c r="B275">
        <v>1953</v>
      </c>
      <c r="C275">
        <v>8</v>
      </c>
      <c r="D275">
        <v>2.09</v>
      </c>
      <c r="F275">
        <v>0.20879584271329418</v>
      </c>
      <c r="I275">
        <v>0.7281795511221902</v>
      </c>
      <c r="J275" s="2">
        <v>32892.18044663878</v>
      </c>
      <c r="K275">
        <f t="shared" si="3"/>
        <v>-0.010000000000000231</v>
      </c>
      <c r="L275" s="2">
        <v>-0.021814314441558826</v>
      </c>
      <c r="Q275">
        <v>0.1735692368202754</v>
      </c>
      <c r="R275">
        <f t="shared" si="4"/>
        <v>-0.010000000000000231</v>
      </c>
      <c r="S275">
        <v>-0.023319484675122706</v>
      </c>
    </row>
    <row r="276" spans="1:19" ht="12.75">
      <c r="A276" s="1">
        <f>DATE(1953,9,1)</f>
        <v>19603</v>
      </c>
      <c r="B276">
        <v>1953</v>
      </c>
      <c r="C276">
        <v>9</v>
      </c>
      <c r="D276">
        <v>1.88</v>
      </c>
      <c r="F276">
        <v>0.20403119991928767</v>
      </c>
      <c r="I276">
        <v>0.7256857855361553</v>
      </c>
      <c r="J276" s="2">
        <v>33103.88163008913</v>
      </c>
      <c r="K276">
        <f t="shared" si="3"/>
        <v>-0.20999999999999996</v>
      </c>
      <c r="L276" s="2">
        <v>0.029708131382923712</v>
      </c>
      <c r="Q276">
        <v>0.17129887584796655</v>
      </c>
      <c r="R276">
        <f t="shared" si="4"/>
        <v>-0.20999999999999996</v>
      </c>
      <c r="S276">
        <v>-0.013867035016958056</v>
      </c>
    </row>
    <row r="277" spans="1:19" ht="12.75">
      <c r="A277" s="1">
        <f>DATE(1953,10,1)</f>
        <v>19633</v>
      </c>
      <c r="B277">
        <v>1953</v>
      </c>
      <c r="C277">
        <v>10</v>
      </c>
      <c r="D277">
        <v>1.4</v>
      </c>
      <c r="F277">
        <v>0.19848229982143056</v>
      </c>
      <c r="I277">
        <v>0.7231920199501204</v>
      </c>
      <c r="J277" s="2">
        <v>33314.13032257238</v>
      </c>
      <c r="K277">
        <f t="shared" si="3"/>
        <v>-0.48</v>
      </c>
      <c r="L277" s="2">
        <v>-0.031211942534318297</v>
      </c>
      <c r="Q277">
        <v>0.16873079542423772</v>
      </c>
      <c r="R277">
        <f t="shared" si="4"/>
        <v>-0.48</v>
      </c>
      <c r="S277">
        <v>-0.006084457989753177</v>
      </c>
    </row>
    <row r="278" spans="1:19" ht="12.75">
      <c r="A278" s="1">
        <f>DATE(1953,11,1)</f>
        <v>19664</v>
      </c>
      <c r="B278">
        <v>1953</v>
      </c>
      <c r="C278">
        <v>11</v>
      </c>
      <c r="D278">
        <v>1.43</v>
      </c>
      <c r="F278">
        <v>0.19211162765039713</v>
      </c>
      <c r="I278">
        <v>0.7206982543640855</v>
      </c>
      <c r="J278" s="2">
        <v>33522.93152405744</v>
      </c>
      <c r="K278">
        <f t="shared" si="3"/>
        <v>0.030000000000000027</v>
      </c>
      <c r="L278" s="2">
        <v>-0.02017651323657857</v>
      </c>
      <c r="Q278">
        <v>0.16629945287549466</v>
      </c>
      <c r="R278">
        <f t="shared" si="4"/>
        <v>0.030000000000000027</v>
      </c>
      <c r="S278">
        <v>-0.005686628629961682</v>
      </c>
    </row>
    <row r="279" spans="1:19" ht="12.75">
      <c r="A279" s="1">
        <f>DATE(1953,12,1)</f>
        <v>19694</v>
      </c>
      <c r="B279">
        <v>1953</v>
      </c>
      <c r="C279">
        <v>12</v>
      </c>
      <c r="D279">
        <v>1.63</v>
      </c>
      <c r="F279">
        <v>0.18503089077822762</v>
      </c>
      <c r="I279">
        <v>0.7182044887780507</v>
      </c>
      <c r="J279" s="2">
        <v>33730.290234513224</v>
      </c>
      <c r="K279">
        <f t="shared" si="3"/>
        <v>0.19999999999999996</v>
      </c>
      <c r="L279" s="2">
        <v>-0.027113275178335415</v>
      </c>
      <c r="Q279">
        <v>0.1644538885063171</v>
      </c>
      <c r="R279">
        <f t="shared" si="4"/>
        <v>0.19999999999999996</v>
      </c>
      <c r="S279">
        <v>-0.02101188252409183</v>
      </c>
    </row>
    <row r="280" spans="1:19" ht="12.75">
      <c r="A280" s="1">
        <f>DATE(1954,1,1)</f>
        <v>19725</v>
      </c>
      <c r="B280">
        <v>1954</v>
      </c>
      <c r="C280">
        <v>1</v>
      </c>
      <c r="D280">
        <v>1.21</v>
      </c>
      <c r="F280">
        <v>0.17746296406638315</v>
      </c>
      <c r="I280">
        <v>0.7157107231920158</v>
      </c>
      <c r="J280" s="2">
        <v>33936.211453908625</v>
      </c>
      <c r="K280">
        <f t="shared" si="3"/>
        <v>-0.41999999999999993</v>
      </c>
      <c r="L280" s="2">
        <v>-0.03753183898206598</v>
      </c>
      <c r="Q280">
        <v>0.16276243823828113</v>
      </c>
      <c r="R280">
        <f t="shared" si="4"/>
        <v>-0.41999999999999993</v>
      </c>
      <c r="S280">
        <v>-0.020070770874127307</v>
      </c>
    </row>
    <row r="281" spans="1:19" ht="12.75">
      <c r="A281" s="1">
        <f>DATE(1954,2,1)</f>
        <v>19756</v>
      </c>
      <c r="B281">
        <v>1954</v>
      </c>
      <c r="C281">
        <v>2</v>
      </c>
      <c r="D281">
        <v>0.98</v>
      </c>
      <c r="F281">
        <v>0.1700452490842424</v>
      </c>
      <c r="I281">
        <v>0.7132169576059808</v>
      </c>
      <c r="J281" s="2">
        <v>34140.70018221255</v>
      </c>
      <c r="K281">
        <f t="shared" si="3"/>
        <v>-0.22999999999999998</v>
      </c>
      <c r="L281" s="2">
        <v>-0.0384585116462558</v>
      </c>
      <c r="Q281">
        <v>0.16066873695845468</v>
      </c>
      <c r="R281">
        <f t="shared" si="4"/>
        <v>-0.22999999999999998</v>
      </c>
      <c r="S281">
        <v>0.013583860323926555</v>
      </c>
    </row>
    <row r="282" spans="1:19" ht="12.75">
      <c r="A282" s="1">
        <f>DATE(1954,3,1)</f>
        <v>19784</v>
      </c>
      <c r="B282">
        <v>1954</v>
      </c>
      <c r="C282">
        <v>3</v>
      </c>
      <c r="D282">
        <v>1.05</v>
      </c>
      <c r="F282">
        <v>0.16313936463244771</v>
      </c>
      <c r="I282">
        <v>0.7107231920199459</v>
      </c>
      <c r="J282" s="2">
        <v>34343.76141939391</v>
      </c>
      <c r="K282">
        <f t="shared" si="3"/>
        <v>0.07000000000000006</v>
      </c>
      <c r="L282" s="2">
        <v>0.0032995938413129125</v>
      </c>
      <c r="Q282">
        <v>0.15873271751678764</v>
      </c>
      <c r="R282">
        <f t="shared" si="4"/>
        <v>0.07000000000000006</v>
      </c>
      <c r="S282">
        <v>-0.006693549002016735</v>
      </c>
    </row>
    <row r="283" spans="1:19" ht="12.75">
      <c r="A283" s="1">
        <f>DATE(1954,4,1)</f>
        <v>19815</v>
      </c>
      <c r="B283">
        <v>1954</v>
      </c>
      <c r="C283">
        <v>4</v>
      </c>
      <c r="D283">
        <v>1.01</v>
      </c>
      <c r="F283">
        <v>0.15601529451801002</v>
      </c>
      <c r="I283">
        <v>0.7082294264339111</v>
      </c>
      <c r="J283" s="2">
        <v>34545.400165421604</v>
      </c>
      <c r="K283">
        <f t="shared" si="3"/>
        <v>-0.040000000000000036</v>
      </c>
      <c r="L283" s="2">
        <v>0.04108946502777669</v>
      </c>
      <c r="Q283">
        <v>0.15707813693702707</v>
      </c>
      <c r="R283">
        <f t="shared" si="4"/>
        <v>-0.040000000000000036</v>
      </c>
      <c r="S283">
        <v>-0.016218329697852276</v>
      </c>
    </row>
    <row r="284" spans="1:19" ht="12.75">
      <c r="A284" s="1">
        <f>DATE(1954,5,1)</f>
        <v>19845</v>
      </c>
      <c r="B284">
        <v>1954</v>
      </c>
      <c r="C284">
        <v>5</v>
      </c>
      <c r="D284">
        <v>0.78</v>
      </c>
      <c r="F284">
        <v>0.14861279467758398</v>
      </c>
      <c r="I284">
        <v>0.7057356608478762</v>
      </c>
      <c r="J284" s="2">
        <v>34745.62142026454</v>
      </c>
      <c r="K284">
        <f t="shared" si="3"/>
        <v>-0.22999999999999998</v>
      </c>
      <c r="L284" s="2">
        <v>0.036489935646316154</v>
      </c>
      <c r="Q284">
        <v>0.15518090100150986</v>
      </c>
      <c r="R284">
        <f t="shared" si="4"/>
        <v>-0.22999999999999998</v>
      </c>
      <c r="S284">
        <v>0.006359818653409001</v>
      </c>
    </row>
    <row r="285" spans="1:19" ht="12.75">
      <c r="A285" s="1">
        <f>DATE(1954,6,1)</f>
        <v>19876</v>
      </c>
      <c r="B285">
        <v>1954</v>
      </c>
      <c r="C285">
        <v>6</v>
      </c>
      <c r="D285">
        <v>0.65</v>
      </c>
      <c r="F285">
        <v>0.14129352870556688</v>
      </c>
      <c r="I285">
        <v>0.7032418952618412</v>
      </c>
      <c r="J285" s="2">
        <v>34944.43018389163</v>
      </c>
      <c r="K285">
        <f t="shared" si="3"/>
        <v>-0.13</v>
      </c>
      <c r="L285" s="2">
        <v>0.04332270147507105</v>
      </c>
      <c r="Q285">
        <v>0.153046253471856</v>
      </c>
      <c r="R285">
        <f t="shared" si="4"/>
        <v>-0.13</v>
      </c>
      <c r="S285">
        <v>0.007304006522609996</v>
      </c>
    </row>
    <row r="286" spans="1:19" ht="12.75">
      <c r="A286" s="1">
        <f>DATE(1954,7,1)</f>
        <v>19906</v>
      </c>
      <c r="B286">
        <v>1954</v>
      </c>
      <c r="C286">
        <v>7</v>
      </c>
      <c r="D286">
        <v>0.71</v>
      </c>
      <c r="F286">
        <v>0.1337246595567049</v>
      </c>
      <c r="I286">
        <v>0.7007481296758064</v>
      </c>
      <c r="J286" s="2">
        <v>35141.83145627177</v>
      </c>
      <c r="K286">
        <f t="shared" si="3"/>
        <v>0.05999999999999994</v>
      </c>
      <c r="L286" s="2">
        <v>-0.003283920782832943</v>
      </c>
      <c r="Q286">
        <v>0.1510901215354616</v>
      </c>
      <c r="R286">
        <f t="shared" si="4"/>
        <v>0.05999999999999994</v>
      </c>
      <c r="S286">
        <v>-0.006308117717790571</v>
      </c>
    </row>
    <row r="287" spans="1:19" ht="12.75">
      <c r="A287" s="1">
        <f>DATE(1954,8,1)</f>
        <v>19937</v>
      </c>
      <c r="B287">
        <v>1954</v>
      </c>
      <c r="C287">
        <v>8</v>
      </c>
      <c r="D287">
        <v>0.89</v>
      </c>
      <c r="F287">
        <v>0.1257471729391596</v>
      </c>
      <c r="I287">
        <v>0.6982543640897715</v>
      </c>
      <c r="J287" s="2">
        <v>35337.83023737388</v>
      </c>
      <c r="K287">
        <f t="shared" si="3"/>
        <v>0.18000000000000005</v>
      </c>
      <c r="L287" s="2">
        <v>0.010840640585771938</v>
      </c>
      <c r="Q287">
        <v>0.14990125360318876</v>
      </c>
      <c r="R287">
        <f t="shared" si="4"/>
        <v>0.18000000000000005</v>
      </c>
      <c r="S287">
        <v>-0.03423141553713411</v>
      </c>
    </row>
    <row r="288" spans="1:19" ht="12.75">
      <c r="A288" s="1">
        <f>DATE(1954,9,1)</f>
        <v>19968</v>
      </c>
      <c r="B288">
        <v>1954</v>
      </c>
      <c r="C288">
        <v>9</v>
      </c>
      <c r="D288">
        <v>1.01</v>
      </c>
      <c r="F288">
        <v>0.11725817759903015</v>
      </c>
      <c r="I288">
        <v>0.6957605985037366</v>
      </c>
      <c r="J288" s="2">
        <v>35532.431527166846</v>
      </c>
      <c r="K288">
        <f t="shared" si="3"/>
        <v>0.12</v>
      </c>
      <c r="L288" s="2">
        <v>-0.03835065514413662</v>
      </c>
      <c r="Q288">
        <v>0.1489226671056073</v>
      </c>
      <c r="R288">
        <f t="shared" si="4"/>
        <v>0.12</v>
      </c>
      <c r="S288">
        <v>-0.005950048104283749</v>
      </c>
    </row>
    <row r="289" spans="1:19" ht="12.75">
      <c r="A289" s="1">
        <f>DATE(1954,10,1)</f>
        <v>19998</v>
      </c>
      <c r="B289">
        <v>1954</v>
      </c>
      <c r="C289">
        <v>10</v>
      </c>
      <c r="D289">
        <v>0.99</v>
      </c>
      <c r="F289">
        <v>0.10894693330669988</v>
      </c>
      <c r="I289">
        <v>0.6932668329177017</v>
      </c>
      <c r="J289" s="2">
        <v>35725.64032561959</v>
      </c>
      <c r="K289">
        <f t="shared" si="3"/>
        <v>-0.020000000000000018</v>
      </c>
      <c r="L289" s="2">
        <v>-0.03714933794744684</v>
      </c>
      <c r="Q289">
        <v>0.14798893128413007</v>
      </c>
      <c r="R289">
        <f t="shared" si="4"/>
        <v>-0.020000000000000018</v>
      </c>
      <c r="S289">
        <v>-0.0017636925241337734</v>
      </c>
    </row>
    <row r="290" spans="1:19" ht="12.75">
      <c r="A290" s="1">
        <f>DATE(1954,11,1)</f>
        <v>20029</v>
      </c>
      <c r="B290">
        <v>1954</v>
      </c>
      <c r="C290">
        <v>11</v>
      </c>
      <c r="D290">
        <v>0.95</v>
      </c>
      <c r="F290">
        <v>0.10085754128156844</v>
      </c>
      <c r="I290">
        <v>0.6907730673316668</v>
      </c>
      <c r="J290" s="2">
        <v>35917.461632701015</v>
      </c>
      <c r="K290">
        <f t="shared" si="3"/>
        <v>-0.040000000000000036</v>
      </c>
      <c r="L290" s="2">
        <v>0.03250123766200677</v>
      </c>
      <c r="Q290">
        <v>0.1471359351866493</v>
      </c>
      <c r="R290">
        <f t="shared" si="4"/>
        <v>-0.040000000000000036</v>
      </c>
      <c r="S290">
        <v>-0.0058771366212238005</v>
      </c>
    </row>
    <row r="291" spans="1:19" ht="12.75">
      <c r="A291" s="1">
        <f>DATE(1954,12,1)</f>
        <v>20059</v>
      </c>
      <c r="B291">
        <v>1954</v>
      </c>
      <c r="C291">
        <v>12</v>
      </c>
      <c r="D291">
        <v>1.17</v>
      </c>
      <c r="F291">
        <v>0.09299357382555122</v>
      </c>
      <c r="I291">
        <v>0.6882793017456319</v>
      </c>
      <c r="J291" s="2">
        <v>36107.90044838002</v>
      </c>
      <c r="K291">
        <f t="shared" si="3"/>
        <v>0.21999999999999997</v>
      </c>
      <c r="L291" s="2">
        <v>0.007089442725800363</v>
      </c>
      <c r="Q291">
        <v>0.14663359927540084</v>
      </c>
      <c r="R291">
        <f t="shared" si="4"/>
        <v>0.21999999999999997</v>
      </c>
      <c r="S291">
        <v>-0.014539131257766588</v>
      </c>
    </row>
    <row r="292" spans="1:19" ht="12.75">
      <c r="A292" s="1">
        <f>DATE(1955,1,1)</f>
        <v>20090</v>
      </c>
      <c r="B292">
        <v>1955</v>
      </c>
      <c r="C292">
        <v>1</v>
      </c>
      <c r="D292">
        <v>1.26</v>
      </c>
      <c r="F292">
        <v>0.08478603178983304</v>
      </c>
      <c r="I292">
        <v>0.685785536159597</v>
      </c>
      <c r="J292" s="2">
        <v>36296.96177262552</v>
      </c>
      <c r="K292">
        <f t="shared" si="3"/>
        <v>0.09000000000000008</v>
      </c>
      <c r="L292" s="2">
        <v>-0.016281806107583695</v>
      </c>
      <c r="Q292">
        <v>0.14650598554018596</v>
      </c>
      <c r="R292">
        <f t="shared" si="4"/>
        <v>0.09000000000000008</v>
      </c>
      <c r="S292">
        <v>-0.019067399822516644</v>
      </c>
    </row>
    <row r="293" spans="1:19" ht="12.75">
      <c r="A293" s="1">
        <f>DATE(1955,2,1)</f>
        <v>20121</v>
      </c>
      <c r="B293">
        <v>1955</v>
      </c>
      <c r="C293">
        <v>2</v>
      </c>
      <c r="D293">
        <v>1.18</v>
      </c>
      <c r="F293">
        <v>0.07653920091635728</v>
      </c>
      <c r="I293">
        <v>0.6832917705735622</v>
      </c>
      <c r="J293" s="2">
        <v>36484.65060540641</v>
      </c>
      <c r="K293">
        <f t="shared" si="3"/>
        <v>-0.08000000000000007</v>
      </c>
      <c r="L293" s="2">
        <v>0.021389497625547843</v>
      </c>
      <c r="Q293">
        <v>0.14613610592821974</v>
      </c>
      <c r="R293">
        <f t="shared" si="4"/>
        <v>-0.08000000000000007</v>
      </c>
      <c r="S293">
        <v>0.006144273531722174</v>
      </c>
    </row>
    <row r="294" spans="1:19" ht="12.75">
      <c r="A294" s="1">
        <f>DATE(1955,3,1)</f>
        <v>20149</v>
      </c>
      <c r="B294">
        <v>1955</v>
      </c>
      <c r="C294">
        <v>3</v>
      </c>
      <c r="D294">
        <v>1.33</v>
      </c>
      <c r="F294">
        <v>0.06935528045210033</v>
      </c>
      <c r="I294">
        <v>0.6807980049875273</v>
      </c>
      <c r="J294" s="2">
        <v>36670.9719466916</v>
      </c>
      <c r="K294">
        <f t="shared" si="3"/>
        <v>0.15000000000000013</v>
      </c>
      <c r="L294" s="2">
        <v>0.03069287023846499</v>
      </c>
      <c r="Q294">
        <v>0.14531508519519673</v>
      </c>
      <c r="R294">
        <f t="shared" si="4"/>
        <v>0.15000000000000013</v>
      </c>
      <c r="S294">
        <v>0.02855036820180367</v>
      </c>
    </row>
    <row r="295" spans="1:19" ht="12.75">
      <c r="A295" s="1">
        <f>DATE(1955,4,1)</f>
        <v>20180</v>
      </c>
      <c r="B295">
        <v>1955</v>
      </c>
      <c r="C295">
        <v>4</v>
      </c>
      <c r="D295">
        <v>1.62</v>
      </c>
      <c r="F295">
        <v>0.06269849524741325</v>
      </c>
      <c r="I295">
        <v>0.6783042394014923</v>
      </c>
      <c r="J295" s="2">
        <v>36855.93079645</v>
      </c>
      <c r="K295">
        <f t="shared" si="3"/>
        <v>0.29000000000000004</v>
      </c>
      <c r="L295" s="2">
        <v>0.03974026456388419</v>
      </c>
      <c r="Q295">
        <v>0.14402582016125037</v>
      </c>
      <c r="R295">
        <f t="shared" si="4"/>
        <v>0.29000000000000004</v>
      </c>
      <c r="S295">
        <v>0.03377340145047467</v>
      </c>
    </row>
    <row r="296" spans="1:19" ht="12.75">
      <c r="A296" s="1">
        <f>DATE(1955,5,1)</f>
        <v>20210</v>
      </c>
      <c r="B296">
        <v>1955</v>
      </c>
      <c r="C296">
        <v>5</v>
      </c>
      <c r="D296">
        <v>1.49</v>
      </c>
      <c r="F296">
        <v>0.055870714600363316</v>
      </c>
      <c r="I296">
        <v>0.6758104738154574</v>
      </c>
      <c r="J296" s="2">
        <v>37039.5321546505</v>
      </c>
      <c r="K296">
        <f t="shared" si="3"/>
        <v>-0.13000000000000012</v>
      </c>
      <c r="L296" s="2">
        <v>-0.006630355677984812</v>
      </c>
      <c r="Q296">
        <v>0.14217585834227575</v>
      </c>
      <c r="R296">
        <f t="shared" si="4"/>
        <v>-0.13000000000000012</v>
      </c>
      <c r="S296">
        <v>0.019433159937967775</v>
      </c>
    </row>
    <row r="297" spans="1:19" ht="12.75">
      <c r="A297" s="1">
        <f>DATE(1955,6,1)</f>
        <v>20241</v>
      </c>
      <c r="B297">
        <v>1955</v>
      </c>
      <c r="C297">
        <v>6</v>
      </c>
      <c r="D297">
        <v>1.43</v>
      </c>
      <c r="F297">
        <v>0.04874559477965405</v>
      </c>
      <c r="I297">
        <v>0.6733167082294226</v>
      </c>
      <c r="J297" s="2">
        <v>37221.781021262024</v>
      </c>
      <c r="K297">
        <f t="shared" si="3"/>
        <v>-0.06000000000000005</v>
      </c>
      <c r="L297" s="2">
        <v>-0.06864738559355905</v>
      </c>
      <c r="Q297">
        <v>0.14057945627371546</v>
      </c>
      <c r="R297">
        <f t="shared" si="4"/>
        <v>-0.06000000000000005</v>
      </c>
      <c r="S297">
        <v>-0.019343022919593347</v>
      </c>
    </row>
    <row r="298" spans="1:19" ht="12.75">
      <c r="A298" s="1">
        <f>DATE(1955,7,1)</f>
        <v>20271</v>
      </c>
      <c r="B298">
        <v>1955</v>
      </c>
      <c r="C298">
        <v>7</v>
      </c>
      <c r="D298">
        <v>1.62</v>
      </c>
      <c r="F298">
        <v>0.043370800932525884</v>
      </c>
      <c r="I298">
        <v>0.6708229426433877</v>
      </c>
      <c r="J298" s="2">
        <v>37402.68239625347</v>
      </c>
      <c r="K298">
        <f t="shared" si="3"/>
        <v>0.19000000000000017</v>
      </c>
      <c r="L298" s="2">
        <v>-0.018880443990241393</v>
      </c>
      <c r="Q298">
        <v>0.13941396512191917</v>
      </c>
      <c r="R298">
        <f t="shared" si="4"/>
        <v>0.19000000000000017</v>
      </c>
      <c r="S298">
        <v>-0.016402103857792116</v>
      </c>
    </row>
    <row r="299" spans="1:19" ht="12.75">
      <c r="A299" s="1">
        <f>DATE(1955,8,1)</f>
        <v>20302</v>
      </c>
      <c r="B299">
        <v>1955</v>
      </c>
      <c r="C299">
        <v>8</v>
      </c>
      <c r="D299">
        <v>1.88</v>
      </c>
      <c r="F299">
        <v>0.037827199464303504</v>
      </c>
      <c r="I299">
        <v>0.6683291770573528</v>
      </c>
      <c r="J299" s="2">
        <v>37582.24127959374</v>
      </c>
      <c r="K299">
        <f t="shared" si="3"/>
        <v>0.2599999999999998</v>
      </c>
      <c r="L299" s="2">
        <v>0.047080955777412864</v>
      </c>
      <c r="Q299">
        <v>0.1383763684850848</v>
      </c>
      <c r="R299">
        <f t="shared" si="4"/>
        <v>0.2599999999999998</v>
      </c>
      <c r="S299">
        <v>0.001301200118871499</v>
      </c>
    </row>
    <row r="300" spans="1:19" ht="12.75">
      <c r="A300" s="1">
        <f>DATE(1955,9,1)</f>
        <v>20333</v>
      </c>
      <c r="B300">
        <v>1955</v>
      </c>
      <c r="C300">
        <v>9</v>
      </c>
      <c r="D300">
        <v>2.09</v>
      </c>
      <c r="F300">
        <v>0.031568543506459205</v>
      </c>
      <c r="I300">
        <v>0.6658354114713179</v>
      </c>
      <c r="J300" s="2">
        <v>37760.46267125175</v>
      </c>
      <c r="K300">
        <f t="shared" si="3"/>
        <v>0.20999999999999996</v>
      </c>
      <c r="L300" s="2">
        <v>0.05610525013293567</v>
      </c>
      <c r="Q300">
        <v>0.13695631144540282</v>
      </c>
      <c r="R300">
        <f t="shared" si="4"/>
        <v>0.20999999999999996</v>
      </c>
      <c r="S300">
        <v>0.02499993936198789</v>
      </c>
    </row>
    <row r="301" spans="1:19" ht="12.75">
      <c r="A301" s="1">
        <f>DATE(1955,10,1)</f>
        <v>20363</v>
      </c>
      <c r="B301">
        <v>1955</v>
      </c>
      <c r="C301">
        <v>10</v>
      </c>
      <c r="D301">
        <v>2.26</v>
      </c>
      <c r="F301">
        <v>0.024154284716106846</v>
      </c>
      <c r="I301">
        <v>0.663341645885283</v>
      </c>
      <c r="J301" s="2">
        <v>37937.3515711964</v>
      </c>
      <c r="K301">
        <f t="shared" si="3"/>
        <v>0.16999999999999993</v>
      </c>
      <c r="L301" s="2">
        <v>0.058819437175052475</v>
      </c>
      <c r="Q301">
        <v>0.13562494100172312</v>
      </c>
      <c r="R301">
        <f t="shared" si="4"/>
        <v>0.16999999999999993</v>
      </c>
      <c r="S301">
        <v>0.0009160527005616144</v>
      </c>
    </row>
    <row r="302" spans="1:19" ht="12.75">
      <c r="A302" s="1">
        <f>DATE(1955,11,1)</f>
        <v>20394</v>
      </c>
      <c r="B302">
        <v>1955</v>
      </c>
      <c r="C302">
        <v>11</v>
      </c>
      <c r="D302">
        <v>2.22</v>
      </c>
      <c r="F302">
        <v>0.016277446128392156</v>
      </c>
      <c r="I302">
        <v>0.6608478802992481</v>
      </c>
      <c r="J302" s="2">
        <v>38112.9129793966</v>
      </c>
      <c r="K302">
        <f aca="true" t="shared" si="5" ref="K302:K365">D302-D301</f>
        <v>-0.03999999999999959</v>
      </c>
      <c r="L302" s="2">
        <v>0.0017714646397221422</v>
      </c>
      <c r="Q302">
        <v>0.1336964815067556</v>
      </c>
      <c r="R302">
        <f t="shared" si="4"/>
        <v>-0.03999999999999959</v>
      </c>
      <c r="S302">
        <v>0.02981089895373438</v>
      </c>
    </row>
    <row r="303" spans="1:19" ht="12.75">
      <c r="A303" s="1">
        <f>DATE(1955,12,1)</f>
        <v>20424</v>
      </c>
      <c r="B303">
        <v>1955</v>
      </c>
      <c r="C303">
        <v>12</v>
      </c>
      <c r="D303">
        <v>2.56</v>
      </c>
      <c r="F303">
        <v>0.008544312388160367</v>
      </c>
      <c r="I303">
        <v>0.6583541147132133</v>
      </c>
      <c r="J303" s="2">
        <v>38287.15189582125</v>
      </c>
      <c r="K303">
        <f t="shared" si="5"/>
        <v>0.33999999999999986</v>
      </c>
      <c r="L303" s="2">
        <v>0.03178270638596201</v>
      </c>
      <c r="Q303">
        <v>0.1312855300852459</v>
      </c>
      <c r="R303">
        <f t="shared" si="4"/>
        <v>0.33999999999999986</v>
      </c>
      <c r="S303">
        <v>0.034700697365244865</v>
      </c>
    </row>
    <row r="304" spans="1:19" ht="12.75">
      <c r="A304" s="1">
        <f>DATE(1956,1,1)</f>
        <v>20455</v>
      </c>
      <c r="B304">
        <v>1956</v>
      </c>
      <c r="C304">
        <v>1</v>
      </c>
      <c r="D304">
        <v>2.46</v>
      </c>
      <c r="F304">
        <v>0.0003464263534770976</v>
      </c>
      <c r="I304">
        <v>0.6558603491271783</v>
      </c>
      <c r="J304" s="2">
        <v>38460.07332043925</v>
      </c>
      <c r="K304">
        <f t="shared" si="5"/>
        <v>-0.10000000000000009</v>
      </c>
      <c r="L304" s="2">
        <v>0.017247090448208307</v>
      </c>
      <c r="Q304">
        <v>0.12830494568773354</v>
      </c>
      <c r="R304">
        <f t="shared" si="4"/>
        <v>-0.10000000000000009</v>
      </c>
      <c r="S304">
        <v>0.026804300384917896</v>
      </c>
    </row>
    <row r="305" spans="1:19" ht="12.75">
      <c r="A305" s="1">
        <f>DATE(1956,2,1)</f>
        <v>20486</v>
      </c>
      <c r="B305">
        <v>1956</v>
      </c>
      <c r="C305">
        <v>2</v>
      </c>
      <c r="D305">
        <v>2.37</v>
      </c>
      <c r="F305">
        <v>-0.008644217189349166</v>
      </c>
      <c r="I305">
        <v>0.6533665835411434</v>
      </c>
      <c r="J305" s="2">
        <v>38631.68225321952</v>
      </c>
      <c r="K305">
        <f t="shared" si="5"/>
        <v>-0.08999999999999986</v>
      </c>
      <c r="L305" s="2">
        <v>-0.02570420739983165</v>
      </c>
      <c r="Q305">
        <v>0.1251166646977278</v>
      </c>
      <c r="R305">
        <f t="shared" si="4"/>
        <v>-0.08999999999999986</v>
      </c>
      <c r="S305">
        <v>0.007723049543337722</v>
      </c>
    </row>
    <row r="306" spans="1:19" ht="12.75">
      <c r="A306" s="1">
        <f>DATE(1956,3,1)</f>
        <v>20515</v>
      </c>
      <c r="B306">
        <v>1956</v>
      </c>
      <c r="C306">
        <v>3</v>
      </c>
      <c r="D306">
        <v>2.31</v>
      </c>
      <c r="F306">
        <v>-0.017392441058999824</v>
      </c>
      <c r="I306">
        <v>0.6508728179551085</v>
      </c>
      <c r="J306" s="2">
        <v>38801.983694130955</v>
      </c>
      <c r="K306">
        <f t="shared" si="5"/>
        <v>-0.06000000000000005</v>
      </c>
      <c r="L306" s="2">
        <v>-0.025248282741902734</v>
      </c>
      <c r="Q306">
        <v>0.12234225161615349</v>
      </c>
      <c r="R306">
        <f t="shared" si="4"/>
        <v>-0.06000000000000005</v>
      </c>
      <c r="S306">
        <v>-0.028549108310836555</v>
      </c>
    </row>
    <row r="307" spans="1:19" ht="12.75">
      <c r="A307" s="1">
        <f>DATE(1956,4,1)</f>
        <v>20546</v>
      </c>
      <c r="B307">
        <v>1956</v>
      </c>
      <c r="C307">
        <v>4</v>
      </c>
      <c r="D307">
        <v>2.61</v>
      </c>
      <c r="F307">
        <v>-0.02520141416181207</v>
      </c>
      <c r="I307">
        <v>0.6483790523690737</v>
      </c>
      <c r="J307" s="2">
        <v>38970.982643142466</v>
      </c>
      <c r="K307">
        <f t="shared" si="5"/>
        <v>0.2999999999999998</v>
      </c>
      <c r="L307" s="2">
        <v>-0.006519994823504092</v>
      </c>
      <c r="Q307">
        <v>0.12002960376187308</v>
      </c>
      <c r="R307">
        <f t="shared" si="4"/>
        <v>0.2999999999999998</v>
      </c>
      <c r="S307">
        <v>-0.018227119491270035</v>
      </c>
    </row>
    <row r="308" spans="1:19" ht="12.75">
      <c r="A308" s="1">
        <f>DATE(1956,5,1)</f>
        <v>20576</v>
      </c>
      <c r="B308">
        <v>1956</v>
      </c>
      <c r="C308">
        <v>5</v>
      </c>
      <c r="D308">
        <v>2.65</v>
      </c>
      <c r="F308">
        <v>-0.031705205708889336</v>
      </c>
      <c r="I308">
        <v>0.6458852867830388</v>
      </c>
      <c r="J308" s="2">
        <v>39138.684100222956</v>
      </c>
      <c r="K308">
        <f t="shared" si="5"/>
        <v>0.040000000000000036</v>
      </c>
      <c r="L308" s="2">
        <v>0.008373944468279004</v>
      </c>
      <c r="Q308">
        <v>0.1176414477951945</v>
      </c>
      <c r="R308">
        <f t="shared" si="4"/>
        <v>0.040000000000000036</v>
      </c>
      <c r="S308">
        <v>-0.00033735720069300723</v>
      </c>
    </row>
    <row r="309" spans="1:19" ht="12.75">
      <c r="A309" s="1">
        <f>DATE(1956,6,1)</f>
        <v>20607</v>
      </c>
      <c r="B309">
        <v>1956</v>
      </c>
      <c r="C309">
        <v>6</v>
      </c>
      <c r="D309">
        <v>2.53</v>
      </c>
      <c r="F309">
        <v>-0.0371209304385094</v>
      </c>
      <c r="I309">
        <v>0.6433915211970038</v>
      </c>
      <c r="J309" s="2">
        <v>39305.09306534133</v>
      </c>
      <c r="K309">
        <f t="shared" si="5"/>
        <v>-0.1200000000000001</v>
      </c>
      <c r="L309" s="2">
        <v>-0.020083052779833018</v>
      </c>
      <c r="Q309">
        <v>0.1153212916467682</v>
      </c>
      <c r="R309">
        <f t="shared" si="4"/>
        <v>-0.1200000000000001</v>
      </c>
      <c r="S309">
        <v>-0.004271350726289464</v>
      </c>
    </row>
    <row r="310" spans="1:19" ht="12.75">
      <c r="A310" s="1">
        <f>DATE(1956,7,1)</f>
        <v>20637</v>
      </c>
      <c r="B310">
        <v>1956</v>
      </c>
      <c r="C310">
        <v>7</v>
      </c>
      <c r="D310">
        <v>2.33</v>
      </c>
      <c r="F310">
        <v>-0.04172769469810845</v>
      </c>
      <c r="I310">
        <v>0.640897755610969</v>
      </c>
      <c r="J310" s="2">
        <v>39470.2145384665</v>
      </c>
      <c r="K310">
        <f t="shared" si="5"/>
        <v>-0.19999999999999973</v>
      </c>
      <c r="L310" s="2">
        <v>0.00221921690136265</v>
      </c>
      <c r="Q310">
        <v>0.11318944708112204</v>
      </c>
      <c r="R310">
        <f t="shared" si="4"/>
        <v>-0.19999999999999973</v>
      </c>
      <c r="S310">
        <v>-0.012977448448569325</v>
      </c>
    </row>
    <row r="311" spans="1:19" ht="12.75">
      <c r="A311" s="1">
        <f>DATE(1956,8,1)</f>
        <v>20668</v>
      </c>
      <c r="B311">
        <v>1956</v>
      </c>
      <c r="C311">
        <v>8</v>
      </c>
      <c r="D311">
        <v>2.61</v>
      </c>
      <c r="F311">
        <v>-0.046461874202761114</v>
      </c>
      <c r="I311">
        <v>0.6384039900249341</v>
      </c>
      <c r="J311" s="2">
        <v>39634.05351956736</v>
      </c>
      <c r="K311">
        <f t="shared" si="5"/>
        <v>0.2799999999999998</v>
      </c>
      <c r="L311" s="2">
        <v>0.020466891918803496</v>
      </c>
      <c r="Q311">
        <v>0.11120138265448314</v>
      </c>
      <c r="R311">
        <f t="shared" si="4"/>
        <v>0.2799999999999998</v>
      </c>
      <c r="S311">
        <v>-0.0021944477214498764</v>
      </c>
    </row>
    <row r="312" spans="1:19" ht="12.75">
      <c r="A312" s="1">
        <f>DATE(1956,9,1)</f>
        <v>20699</v>
      </c>
      <c r="B312">
        <v>1956</v>
      </c>
      <c r="C312">
        <v>9</v>
      </c>
      <c r="D312">
        <v>2.85</v>
      </c>
      <c r="F312">
        <v>-0.050998686531528274</v>
      </c>
      <c r="I312">
        <v>0.6359102244388992</v>
      </c>
      <c r="J312" s="2">
        <v>39796.615008612825</v>
      </c>
      <c r="K312">
        <f t="shared" si="5"/>
        <v>0.2400000000000002</v>
      </c>
      <c r="L312" s="2">
        <v>0.015555416153083828</v>
      </c>
      <c r="Q312">
        <v>0.10800241874335928</v>
      </c>
      <c r="R312">
        <f t="shared" si="4"/>
        <v>0.2400000000000002</v>
      </c>
      <c r="S312">
        <v>0.06403490249311156</v>
      </c>
    </row>
    <row r="313" spans="1:19" ht="12.75">
      <c r="A313" s="1">
        <f>DATE(1956,10,1)</f>
        <v>20729</v>
      </c>
      <c r="B313">
        <v>1956</v>
      </c>
      <c r="C313">
        <v>10</v>
      </c>
      <c r="D313">
        <v>2.96</v>
      </c>
      <c r="F313">
        <v>-0.05548407798778828</v>
      </c>
      <c r="I313">
        <v>0.6334164588528644</v>
      </c>
      <c r="J313" s="2">
        <v>39957.9040055718</v>
      </c>
      <c r="K313">
        <f t="shared" si="5"/>
        <v>0.10999999999999988</v>
      </c>
      <c r="L313" s="2">
        <v>0.0013364893417185497</v>
      </c>
      <c r="Q313">
        <v>0.10372721971886885</v>
      </c>
      <c r="R313">
        <f t="shared" si="4"/>
        <v>0.10999999999999988</v>
      </c>
      <c r="S313">
        <v>0.04786855009066142</v>
      </c>
    </row>
    <row r="314" spans="1:19" ht="12.75">
      <c r="A314" s="1">
        <f>DATE(1956,11,1)</f>
        <v>20760</v>
      </c>
      <c r="B314">
        <v>1956</v>
      </c>
      <c r="C314">
        <v>11</v>
      </c>
      <c r="D314">
        <v>3</v>
      </c>
      <c r="F314">
        <v>-0.06017362169494531</v>
      </c>
      <c r="I314">
        <v>0.6309226932668294</v>
      </c>
      <c r="J314" s="2">
        <v>40117.92551041319</v>
      </c>
      <c r="K314">
        <f t="shared" si="5"/>
        <v>0.040000000000000036</v>
      </c>
      <c r="L314" s="2">
        <v>0.0022343194374779556</v>
      </c>
      <c r="Q314">
        <v>0.09881071831440531</v>
      </c>
      <c r="R314">
        <f t="shared" si="4"/>
        <v>0.040000000000000036</v>
      </c>
      <c r="S314">
        <v>0.029812931894128543</v>
      </c>
    </row>
    <row r="315" spans="1:19" ht="12.75">
      <c r="A315" s="1">
        <f>DATE(1956,12,1)</f>
        <v>20790</v>
      </c>
      <c r="B315">
        <v>1956</v>
      </c>
      <c r="C315">
        <v>12</v>
      </c>
      <c r="D315">
        <v>3.23</v>
      </c>
      <c r="F315">
        <v>-0.06399681941753853</v>
      </c>
      <c r="I315">
        <v>0.6284289276807945</v>
      </c>
      <c r="J315" s="2">
        <v>40276.68452310589</v>
      </c>
      <c r="K315">
        <f t="shared" si="5"/>
        <v>0.22999999999999998</v>
      </c>
      <c r="L315" s="2">
        <v>-0.022183526755931684</v>
      </c>
      <c r="Q315">
        <v>0.09371451743776697</v>
      </c>
      <c r="R315">
        <f t="shared" si="4"/>
        <v>0.22999999999999998</v>
      </c>
      <c r="S315">
        <v>0.015549422337485583</v>
      </c>
    </row>
    <row r="316" spans="1:19" ht="12.75">
      <c r="A316" s="1">
        <f>DATE(1957,1,1)</f>
        <v>20821</v>
      </c>
      <c r="B316">
        <v>1957</v>
      </c>
      <c r="C316">
        <v>1</v>
      </c>
      <c r="D316">
        <v>3.21</v>
      </c>
      <c r="F316">
        <v>-0.06764120459823128</v>
      </c>
      <c r="I316">
        <v>0.6259351620947596</v>
      </c>
      <c r="J316" s="2">
        <v>40434.18604361882</v>
      </c>
      <c r="K316">
        <f t="shared" si="5"/>
        <v>-0.020000000000000018</v>
      </c>
      <c r="L316" s="2">
        <v>-0.01629239212078312</v>
      </c>
      <c r="Q316">
        <v>0.08884406487307586</v>
      </c>
      <c r="R316">
        <f t="shared" si="4"/>
        <v>-0.020000000000000018</v>
      </c>
      <c r="S316">
        <v>-0.009534393699245174</v>
      </c>
    </row>
    <row r="317" spans="1:19" ht="12.75">
      <c r="A317" s="1">
        <f>DATE(1957,2,1)</f>
        <v>20852</v>
      </c>
      <c r="B317">
        <v>1957</v>
      </c>
      <c r="C317">
        <v>2</v>
      </c>
      <c r="D317">
        <v>3.16</v>
      </c>
      <c r="F317">
        <v>-0.07116219948846168</v>
      </c>
      <c r="I317">
        <v>0.6234413965087248</v>
      </c>
      <c r="J317" s="2">
        <v>40590.43507192088</v>
      </c>
      <c r="K317">
        <f t="shared" si="5"/>
        <v>-0.04999999999999982</v>
      </c>
      <c r="L317" s="2">
        <v>0.014328064311018124</v>
      </c>
      <c r="Q317">
        <v>0.08357118329579044</v>
      </c>
      <c r="R317">
        <f t="shared" si="4"/>
        <v>-0.04999999999999982</v>
      </c>
      <c r="S317">
        <v>0.020253240991756016</v>
      </c>
    </row>
    <row r="318" spans="1:19" ht="12.75">
      <c r="A318" s="1">
        <f>DATE(1957,3,1)</f>
        <v>20880</v>
      </c>
      <c r="B318">
        <v>1957</v>
      </c>
      <c r="C318">
        <v>3</v>
      </c>
      <c r="D318">
        <v>3.14</v>
      </c>
      <c r="F318">
        <v>-0.0737489463669524</v>
      </c>
      <c r="I318">
        <v>0.6209476309226899</v>
      </c>
      <c r="J318" s="2">
        <v>40745.43660798098</v>
      </c>
      <c r="K318">
        <f t="shared" si="5"/>
        <v>-0.020000000000000018</v>
      </c>
      <c r="L318" s="2">
        <v>-0.019903599842666323</v>
      </c>
      <c r="Q318">
        <v>0.0784177039073068</v>
      </c>
      <c r="R318">
        <f t="shared" si="4"/>
        <v>-0.020000000000000018</v>
      </c>
      <c r="S318">
        <v>-0.006921903059425819</v>
      </c>
    </row>
    <row r="319" spans="1:19" ht="12.75">
      <c r="A319" s="1">
        <f>DATE(1957,4,1)</f>
        <v>20911</v>
      </c>
      <c r="B319">
        <v>1957</v>
      </c>
      <c r="C319">
        <v>4</v>
      </c>
      <c r="D319">
        <v>3.11</v>
      </c>
      <c r="F319">
        <v>-0.07523317808461978</v>
      </c>
      <c r="I319">
        <v>0.6184538653366549</v>
      </c>
      <c r="J319" s="2">
        <v>40899.195651768016</v>
      </c>
      <c r="K319">
        <f t="shared" si="5"/>
        <v>-0.03000000000000025</v>
      </c>
      <c r="L319" s="2">
        <v>-0.0417737256965643</v>
      </c>
      <c r="Q319">
        <v>0.07320827143663228</v>
      </c>
      <c r="R319">
        <f aca="true" t="shared" si="6" ref="R319:R382">D319-D318</f>
        <v>-0.03000000000000025</v>
      </c>
      <c r="S319">
        <v>0.0032923729087412416</v>
      </c>
    </row>
    <row r="320" spans="1:19" ht="12.75">
      <c r="A320" s="1">
        <f>DATE(1957,5,1)</f>
        <v>20941</v>
      </c>
      <c r="B320">
        <v>1957</v>
      </c>
      <c r="C320">
        <v>5</v>
      </c>
      <c r="D320">
        <v>3.04</v>
      </c>
      <c r="F320">
        <v>-0.07602927105454749</v>
      </c>
      <c r="I320">
        <v>0.61596009975062</v>
      </c>
      <c r="J320" s="2">
        <v>41051.717203250904</v>
      </c>
      <c r="K320">
        <f t="shared" si="5"/>
        <v>-0.06999999999999984</v>
      </c>
      <c r="L320" s="2">
        <v>-0.06654745243276815</v>
      </c>
      <c r="Q320">
        <v>0.06793316776211687</v>
      </c>
      <c r="R320">
        <f t="shared" si="6"/>
        <v>-0.06999999999999984</v>
      </c>
      <c r="S320">
        <v>0.0060877157477917665</v>
      </c>
    </row>
    <row r="321" spans="1:19" ht="12.75">
      <c r="A321" s="1">
        <f>DATE(1957,6,1)</f>
        <v>20972</v>
      </c>
      <c r="B321">
        <v>1957</v>
      </c>
      <c r="C321">
        <v>6</v>
      </c>
      <c r="D321">
        <v>3.32</v>
      </c>
      <c r="F321">
        <v>-0.07573201154399664</v>
      </c>
      <c r="I321">
        <v>0.6134663341645852</v>
      </c>
      <c r="J321" s="2">
        <v>41203.00626239854</v>
      </c>
      <c r="K321">
        <f t="shared" si="5"/>
        <v>0.2799999999999998</v>
      </c>
      <c r="L321" s="2">
        <v>-0.04054075468224457</v>
      </c>
      <c r="Q321">
        <v>0.06305029831465891</v>
      </c>
      <c r="R321">
        <f t="shared" si="6"/>
        <v>0.2799999999999998</v>
      </c>
      <c r="S321">
        <v>-0.010953519155481728</v>
      </c>
    </row>
    <row r="322" spans="1:19" ht="12.75">
      <c r="A322" s="1">
        <f>DATE(1957,7,1)</f>
        <v>21002</v>
      </c>
      <c r="B322">
        <v>1957</v>
      </c>
      <c r="C322">
        <v>7</v>
      </c>
      <c r="D322">
        <v>3.16</v>
      </c>
      <c r="F322">
        <v>-0.07496341859344352</v>
      </c>
      <c r="I322">
        <v>0.6109725685785503</v>
      </c>
      <c r="J322" s="2">
        <v>41353.06782917984</v>
      </c>
      <c r="K322">
        <f t="shared" si="5"/>
        <v>-0.1599999999999997</v>
      </c>
      <c r="L322" s="2">
        <v>-0.02273592441195176</v>
      </c>
      <c r="Q322">
        <v>0.057904754226731865</v>
      </c>
      <c r="R322">
        <f t="shared" si="6"/>
        <v>-0.1599999999999997</v>
      </c>
      <c r="S322">
        <v>0.00871469726948224</v>
      </c>
    </row>
    <row r="323" spans="1:19" ht="12.75">
      <c r="A323" s="1">
        <f>DATE(1957,8,1)</f>
        <v>21033</v>
      </c>
      <c r="B323">
        <v>1957</v>
      </c>
      <c r="C323">
        <v>8</v>
      </c>
      <c r="D323">
        <v>3.4</v>
      </c>
      <c r="F323">
        <v>-0.07411200788488459</v>
      </c>
      <c r="I323">
        <v>0.6084788029925153</v>
      </c>
      <c r="J323" s="2">
        <v>41501.9069035637</v>
      </c>
      <c r="K323">
        <f t="shared" si="5"/>
        <v>0.23999999999999977</v>
      </c>
      <c r="L323" s="2">
        <v>-0.01336639538586752</v>
      </c>
      <c r="Q323">
        <v>0.052809303379482</v>
      </c>
      <c r="R323">
        <f t="shared" si="6"/>
        <v>0.23999999999999977</v>
      </c>
      <c r="S323">
        <v>0.004610648167724219</v>
      </c>
    </row>
    <row r="324" spans="1:19" ht="12.75">
      <c r="A324" s="1">
        <f>DATE(1957,9,1)</f>
        <v>21064</v>
      </c>
      <c r="B324">
        <v>1957</v>
      </c>
      <c r="C324">
        <v>9</v>
      </c>
      <c r="D324">
        <v>3.58</v>
      </c>
      <c r="F324">
        <v>-0.07342318966399433</v>
      </c>
      <c r="I324">
        <v>0.6059850374064805</v>
      </c>
      <c r="J324" s="2">
        <v>41649.52848551903</v>
      </c>
      <c r="K324">
        <f t="shared" si="5"/>
        <v>0.18000000000000016</v>
      </c>
      <c r="L324" s="2">
        <v>-0.006384679736936804</v>
      </c>
      <c r="Q324">
        <v>0.047853031803353</v>
      </c>
      <c r="R324">
        <f t="shared" si="6"/>
        <v>0.18000000000000016</v>
      </c>
      <c r="S324">
        <v>0.0005926038308840212</v>
      </c>
    </row>
    <row r="325" spans="1:19" ht="12.75">
      <c r="A325" s="1">
        <f>DATE(1957,10,1)</f>
        <v>21094</v>
      </c>
      <c r="B325">
        <v>1957</v>
      </c>
      <c r="C325">
        <v>10</v>
      </c>
      <c r="D325">
        <v>3.59</v>
      </c>
      <c r="F325">
        <v>-0.0742944217993941</v>
      </c>
      <c r="I325">
        <v>0.6034912718204456</v>
      </c>
      <c r="J325" s="2">
        <v>41795.937575014745</v>
      </c>
      <c r="K325">
        <f t="shared" si="5"/>
        <v>0.009999999999999787</v>
      </c>
      <c r="L325" s="2">
        <v>-0.005991460025384366</v>
      </c>
      <c r="Q325">
        <v>0.04307441055542621</v>
      </c>
      <c r="R325">
        <f t="shared" si="6"/>
        <v>0.009999999999999787</v>
      </c>
      <c r="S325">
        <v>-0.009196228599328076</v>
      </c>
    </row>
    <row r="326" spans="1:19" ht="12.75">
      <c r="A326" s="1">
        <f>DATE(1957,11,1)</f>
        <v>21125</v>
      </c>
      <c r="B326">
        <v>1957</v>
      </c>
      <c r="C326">
        <v>11</v>
      </c>
      <c r="D326">
        <v>3.34</v>
      </c>
      <c r="F326">
        <v>-0.07658842557918553</v>
      </c>
      <c r="I326">
        <v>0.6009975062344107</v>
      </c>
      <c r="J326" s="2">
        <v>41941.139172019735</v>
      </c>
      <c r="K326">
        <f t="shared" si="5"/>
        <v>-0.25</v>
      </c>
      <c r="L326" s="2">
        <v>-0.020894339307020664</v>
      </c>
      <c r="Q326">
        <v>0.038088449594447196</v>
      </c>
      <c r="R326">
        <f t="shared" si="6"/>
        <v>-0.25</v>
      </c>
      <c r="S326">
        <v>-0.0010141291389366522</v>
      </c>
    </row>
    <row r="327" spans="1:19" ht="12.75">
      <c r="A327" s="1">
        <f>DATE(1957,12,1)</f>
        <v>21155</v>
      </c>
      <c r="B327">
        <v>1957</v>
      </c>
      <c r="C327">
        <v>12</v>
      </c>
      <c r="D327">
        <v>3.1</v>
      </c>
      <c r="F327">
        <v>-0.07941993201512862</v>
      </c>
      <c r="I327">
        <v>0.5985037406483759</v>
      </c>
      <c r="J327" s="2">
        <v>42085.13827650291</v>
      </c>
      <c r="K327">
        <f t="shared" si="5"/>
        <v>-0.23999999999999977</v>
      </c>
      <c r="L327" s="2">
        <v>-0.019848586691908365</v>
      </c>
      <c r="Q327">
        <v>0.032727063013102464</v>
      </c>
      <c r="R327">
        <f t="shared" si="6"/>
        <v>-0.23999999999999977</v>
      </c>
      <c r="S327">
        <v>0.00791789733081186</v>
      </c>
    </row>
    <row r="328" spans="1:19" ht="12.75">
      <c r="A328" s="1">
        <f>DATE(1958,1,1)</f>
        <v>21186</v>
      </c>
      <c r="B328">
        <v>1958</v>
      </c>
      <c r="C328">
        <v>1</v>
      </c>
      <c r="D328">
        <v>2.6</v>
      </c>
      <c r="F328">
        <v>-0.08322961322232592</v>
      </c>
      <c r="I328">
        <v>0.5960099750623409</v>
      </c>
      <c r="J328" s="2">
        <v>42227.93988843318</v>
      </c>
      <c r="K328">
        <f t="shared" si="5"/>
        <v>-0.5</v>
      </c>
      <c r="L328" s="2">
        <v>0.013632815640170349</v>
      </c>
      <c r="Q328">
        <v>0.02640416114039571</v>
      </c>
      <c r="R328">
        <f t="shared" si="6"/>
        <v>-0.5</v>
      </c>
      <c r="S328">
        <v>0.0349511216652376</v>
      </c>
    </row>
    <row r="329" spans="1:19" ht="12.75">
      <c r="A329" s="1">
        <f>DATE(1958,2,1)</f>
        <v>21217</v>
      </c>
      <c r="B329">
        <v>1958</v>
      </c>
      <c r="C329">
        <v>2</v>
      </c>
      <c r="D329">
        <v>1.56</v>
      </c>
      <c r="F329">
        <v>-0.08781352087934115</v>
      </c>
      <c r="I329">
        <v>0.593516209476306</v>
      </c>
      <c r="J329" s="2">
        <v>42369.54900777945</v>
      </c>
      <c r="K329">
        <f t="shared" si="5"/>
        <v>-1.04</v>
      </c>
      <c r="L329" s="2">
        <v>-0.006980555042631343</v>
      </c>
      <c r="Q329">
        <v>0.01924248933623758</v>
      </c>
      <c r="R329">
        <f t="shared" si="6"/>
        <v>-1.04</v>
      </c>
      <c r="S329">
        <v>0.01115426186557027</v>
      </c>
    </row>
    <row r="330" spans="1:19" ht="12.75">
      <c r="A330" s="1">
        <f>DATE(1958,3,1)</f>
        <v>21245</v>
      </c>
      <c r="B330">
        <v>1958</v>
      </c>
      <c r="C330">
        <v>3</v>
      </c>
      <c r="D330">
        <v>1.35</v>
      </c>
      <c r="F330">
        <v>-0.09227017360579232</v>
      </c>
      <c r="I330">
        <v>0.5910224438902711</v>
      </c>
      <c r="J330" s="2">
        <v>42509.97063451063</v>
      </c>
      <c r="K330">
        <f t="shared" si="5"/>
        <v>-0.20999999999999996</v>
      </c>
      <c r="L330" s="2">
        <v>-0.016324113428889942</v>
      </c>
      <c r="Q330">
        <v>0.012102245780335969</v>
      </c>
      <c r="R330">
        <f t="shared" si="6"/>
        <v>-0.20999999999999996</v>
      </c>
      <c r="S330">
        <v>-0.0028536288634351164</v>
      </c>
    </row>
    <row r="331" spans="1:19" ht="12.75">
      <c r="A331" s="1">
        <f>DATE(1958,4,1)</f>
        <v>21276</v>
      </c>
      <c r="B331">
        <v>1958</v>
      </c>
      <c r="C331">
        <v>4</v>
      </c>
      <c r="D331">
        <v>1.13</v>
      </c>
      <c r="F331">
        <v>-0.0969691475770376</v>
      </c>
      <c r="I331">
        <v>0.5885286783042363</v>
      </c>
      <c r="J331" s="2">
        <v>42649.20976859562</v>
      </c>
      <c r="K331">
        <f t="shared" si="5"/>
        <v>-0.2200000000000002</v>
      </c>
      <c r="L331" s="2">
        <v>0.006522623488676457</v>
      </c>
      <c r="Q331">
        <v>0.005238463567796407</v>
      </c>
      <c r="R331">
        <f t="shared" si="6"/>
        <v>-0.2200000000000002</v>
      </c>
      <c r="S331">
        <v>-0.02247546157576503</v>
      </c>
    </row>
    <row r="332" spans="1:19" ht="12.75">
      <c r="A332" s="1">
        <f>DATE(1958,5,1)</f>
        <v>21306</v>
      </c>
      <c r="B332">
        <v>1958</v>
      </c>
      <c r="C332">
        <v>5</v>
      </c>
      <c r="D332">
        <v>1.05</v>
      </c>
      <c r="F332">
        <v>-0.10091745425572336</v>
      </c>
      <c r="I332">
        <v>0.5860349127182014</v>
      </c>
      <c r="J332" s="2">
        <v>42787.27141000332</v>
      </c>
      <c r="K332">
        <f t="shared" si="5"/>
        <v>-0.07999999999999985</v>
      </c>
      <c r="L332" s="2">
        <v>0.006707297833490381</v>
      </c>
      <c r="Q332">
        <v>-0.001560411236324821</v>
      </c>
      <c r="R332">
        <f t="shared" si="6"/>
        <v>-0.07999999999999985</v>
      </c>
      <c r="S332">
        <v>-0.0069294333469057555</v>
      </c>
    </row>
    <row r="333" spans="1:19" ht="12.75">
      <c r="A333" s="1">
        <f>DATE(1958,6,1)</f>
        <v>21337</v>
      </c>
      <c r="B333">
        <v>1958</v>
      </c>
      <c r="C333">
        <v>6</v>
      </c>
      <c r="D333">
        <v>0.88</v>
      </c>
      <c r="F333">
        <v>-0.1033299416416937</v>
      </c>
      <c r="I333">
        <v>0.5835411471321664</v>
      </c>
      <c r="J333" s="2">
        <v>42924.16055870264</v>
      </c>
      <c r="K333">
        <f t="shared" si="5"/>
        <v>-0.17000000000000004</v>
      </c>
      <c r="L333" s="2">
        <v>-0.006996081249574234</v>
      </c>
      <c r="Q333">
        <v>-0.008492819721412501</v>
      </c>
      <c r="R333">
        <f t="shared" si="6"/>
        <v>-0.17000000000000004</v>
      </c>
      <c r="S333">
        <v>0.0022836975438284557</v>
      </c>
    </row>
    <row r="334" spans="1:19" ht="12.75">
      <c r="A334" s="1">
        <f>DATE(1958,7,1)</f>
        <v>21367</v>
      </c>
      <c r="B334">
        <v>1958</v>
      </c>
      <c r="C334">
        <v>7</v>
      </c>
      <c r="D334">
        <v>0.96</v>
      </c>
      <c r="F334">
        <v>-0.10617449543739442</v>
      </c>
      <c r="I334">
        <v>0.5810473815461316</v>
      </c>
      <c r="J334" s="2">
        <v>43059.882214662495</v>
      </c>
      <c r="K334">
        <f t="shared" si="5"/>
        <v>0.07999999999999996</v>
      </c>
      <c r="L334" s="2">
        <v>-0.0340424569810624</v>
      </c>
      <c r="Q334">
        <v>-0.014610219008166633</v>
      </c>
      <c r="R334">
        <f t="shared" si="6"/>
        <v>0.07999999999999996</v>
      </c>
      <c r="S334">
        <v>-0.0369002897176676</v>
      </c>
    </row>
    <row r="335" spans="1:19" ht="12.75">
      <c r="A335" s="1">
        <f>DATE(1958,8,1)</f>
        <v>21398</v>
      </c>
      <c r="B335">
        <v>1958</v>
      </c>
      <c r="C335">
        <v>8</v>
      </c>
      <c r="D335">
        <v>1.69</v>
      </c>
      <c r="F335">
        <v>-0.1092437836247562</v>
      </c>
      <c r="I335">
        <v>0.5785536159600967</v>
      </c>
      <c r="J335" s="2">
        <v>43194.44137785178</v>
      </c>
      <c r="K335">
        <f t="shared" si="5"/>
        <v>0.73</v>
      </c>
      <c r="L335" s="2">
        <v>-0.005760661871622956</v>
      </c>
      <c r="Q335">
        <v>-0.0196984257693674</v>
      </c>
      <c r="R335">
        <f t="shared" si="6"/>
        <v>0.73</v>
      </c>
      <c r="S335">
        <v>-0.031295908987981756</v>
      </c>
    </row>
    <row r="336" spans="1:19" ht="12.75">
      <c r="A336" s="1">
        <f>DATE(1958,9,1)</f>
        <v>21429</v>
      </c>
      <c r="B336">
        <v>1958</v>
      </c>
      <c r="C336">
        <v>9</v>
      </c>
      <c r="D336">
        <v>2.48</v>
      </c>
      <c r="F336">
        <v>-0.11249069319378571</v>
      </c>
      <c r="I336">
        <v>0.5760598503740618</v>
      </c>
      <c r="J336" s="2">
        <v>43327.843048239396</v>
      </c>
      <c r="K336">
        <f t="shared" si="5"/>
        <v>0.79</v>
      </c>
      <c r="L336" s="2">
        <v>-0.002197337006460242</v>
      </c>
      <c r="Q336">
        <v>-0.024438569775472724</v>
      </c>
      <c r="R336">
        <f t="shared" si="6"/>
        <v>0.79</v>
      </c>
      <c r="S336">
        <v>0.007421325823073351</v>
      </c>
    </row>
    <row r="337" spans="1:19" ht="12.75">
      <c r="A337" s="1">
        <f>DATE(1958,10,1)</f>
        <v>21459</v>
      </c>
      <c r="B337">
        <v>1958</v>
      </c>
      <c r="C337">
        <v>10</v>
      </c>
      <c r="D337">
        <v>2.79</v>
      </c>
      <c r="F337">
        <v>-0.11610331842381237</v>
      </c>
      <c r="I337">
        <v>0.573566084788027</v>
      </c>
      <c r="J337" s="2">
        <v>43460.09222579426</v>
      </c>
      <c r="K337">
        <f t="shared" si="5"/>
        <v>0.31000000000000005</v>
      </c>
      <c r="L337" s="2">
        <v>-0.006038415909791577</v>
      </c>
      <c r="Q337">
        <v>-0.029076203853062532</v>
      </c>
      <c r="R337">
        <f t="shared" si="6"/>
        <v>0.31000000000000005</v>
      </c>
      <c r="S337">
        <v>0.007102928997200064</v>
      </c>
    </row>
    <row r="338" spans="1:19" ht="12.75">
      <c r="A338" s="1">
        <f>DATE(1958,11,1)</f>
        <v>21490</v>
      </c>
      <c r="B338">
        <v>1958</v>
      </c>
      <c r="C338">
        <v>11</v>
      </c>
      <c r="D338">
        <v>2.76</v>
      </c>
      <c r="F338">
        <v>-0.12024838638391593</v>
      </c>
      <c r="I338">
        <v>0.571072319201992</v>
      </c>
      <c r="J338" s="2">
        <v>43591.19391048527</v>
      </c>
      <c r="K338">
        <f t="shared" si="5"/>
        <v>-0.03000000000000025</v>
      </c>
      <c r="L338" s="2">
        <v>-0.014862157879854718</v>
      </c>
      <c r="Q338">
        <v>-0.03398345949039554</v>
      </c>
      <c r="R338">
        <f t="shared" si="6"/>
        <v>-0.03000000000000025</v>
      </c>
      <c r="S338">
        <v>0.008429709826032148</v>
      </c>
    </row>
    <row r="339" spans="1:19" ht="12.75">
      <c r="A339" s="1">
        <f>DATE(1958,12,1)</f>
        <v>21520</v>
      </c>
      <c r="B339">
        <v>1958</v>
      </c>
      <c r="C339">
        <v>12</v>
      </c>
      <c r="D339">
        <v>2.81</v>
      </c>
      <c r="F339">
        <v>-0.1253370271187678</v>
      </c>
      <c r="I339">
        <v>0.5685785536159571</v>
      </c>
      <c r="J339" s="2">
        <v>43721.15310228134</v>
      </c>
      <c r="K339">
        <f t="shared" si="5"/>
        <v>0.050000000000000266</v>
      </c>
      <c r="L339" s="2">
        <v>-0.018875790324625562</v>
      </c>
      <c r="Q339">
        <v>-0.03874347342972084</v>
      </c>
      <c r="R339">
        <f t="shared" si="6"/>
        <v>0.050000000000000266</v>
      </c>
      <c r="S339">
        <v>-0.013634238464160755</v>
      </c>
    </row>
    <row r="340" spans="1:19" ht="12.75">
      <c r="A340" s="1">
        <f>DATE(1959,1,1)</f>
        <v>21551</v>
      </c>
      <c r="B340">
        <v>1959</v>
      </c>
      <c r="C340">
        <v>1</v>
      </c>
      <c r="D340">
        <v>2.84</v>
      </c>
      <c r="F340">
        <v>-0.13076130686609044</v>
      </c>
      <c r="I340">
        <v>0.5660847880299222</v>
      </c>
      <c r="J340" s="2">
        <v>43849.97480115137</v>
      </c>
      <c r="K340">
        <f t="shared" si="5"/>
        <v>0.029999999999999805</v>
      </c>
      <c r="L340" s="2">
        <v>0.005920357694063906</v>
      </c>
      <c r="Q340">
        <v>-0.0436955998535376</v>
      </c>
      <c r="R340">
        <f t="shared" si="6"/>
        <v>0.029999999999999805</v>
      </c>
      <c r="S340">
        <v>-0.015797171665357736</v>
      </c>
    </row>
    <row r="341" spans="1:19" ht="12.75">
      <c r="A341" s="1">
        <f>DATE(1959,2,1)</f>
        <v>21582</v>
      </c>
      <c r="B341">
        <v>1959</v>
      </c>
      <c r="C341">
        <v>2</v>
      </c>
      <c r="D341">
        <v>2.71</v>
      </c>
      <c r="F341">
        <v>-0.13603470887130797</v>
      </c>
      <c r="I341">
        <v>0.5635910224438874</v>
      </c>
      <c r="J341" s="2">
        <v>43977.66400706427</v>
      </c>
      <c r="K341">
        <f t="shared" si="5"/>
        <v>-0.1299999999999999</v>
      </c>
      <c r="L341" s="2">
        <v>0.028090074772073467</v>
      </c>
      <c r="Q341">
        <v>-0.04875449675345742</v>
      </c>
      <c r="R341">
        <f t="shared" si="6"/>
        <v>-0.1299999999999999</v>
      </c>
      <c r="S341">
        <v>-0.0011285939027126833</v>
      </c>
    </row>
    <row r="342" spans="1:19" ht="12.75">
      <c r="A342" s="1">
        <f>DATE(1959,3,1)</f>
        <v>21610</v>
      </c>
      <c r="B342">
        <v>1959</v>
      </c>
      <c r="C342">
        <v>3</v>
      </c>
      <c r="D342">
        <v>2.85</v>
      </c>
      <c r="F342">
        <v>-0.14033607226023528</v>
      </c>
      <c r="I342">
        <v>0.5610972568578525</v>
      </c>
      <c r="J342" s="2">
        <v>44104.225719988935</v>
      </c>
      <c r="K342">
        <f t="shared" si="5"/>
        <v>0.14000000000000012</v>
      </c>
      <c r="L342" s="2">
        <v>0.034077168543192704</v>
      </c>
      <c r="Q342">
        <v>-0.05338867585580221</v>
      </c>
      <c r="R342">
        <f t="shared" si="6"/>
        <v>0.14000000000000012</v>
      </c>
      <c r="S342">
        <v>-0.018240336449095645</v>
      </c>
    </row>
    <row r="343" spans="1:19" ht="12.75">
      <c r="A343" s="1">
        <f>DATE(1959,4,1)</f>
        <v>21641</v>
      </c>
      <c r="B343">
        <v>1959</v>
      </c>
      <c r="C343">
        <v>4</v>
      </c>
      <c r="D343">
        <v>2.96</v>
      </c>
      <c r="F343">
        <v>-0.14461674388157844</v>
      </c>
      <c r="I343">
        <v>0.5586034912718175</v>
      </c>
      <c r="J343" s="2">
        <v>44229.66493989428</v>
      </c>
      <c r="K343">
        <f t="shared" si="5"/>
        <v>0.10999999999999988</v>
      </c>
      <c r="L343" s="2">
        <v>0.020008488326810743</v>
      </c>
      <c r="Q343">
        <v>-0.057377108503418206</v>
      </c>
      <c r="R343">
        <f t="shared" si="6"/>
        <v>0.10999999999999988</v>
      </c>
      <c r="S343">
        <v>-0.036250505457281604</v>
      </c>
    </row>
    <row r="344" spans="1:19" ht="12.75">
      <c r="A344" s="1">
        <f>DATE(1959,5,1)</f>
        <v>21671</v>
      </c>
      <c r="B344">
        <v>1959</v>
      </c>
      <c r="C344">
        <v>5</v>
      </c>
      <c r="D344">
        <v>2.85</v>
      </c>
      <c r="F344">
        <v>-0.14943305862887363</v>
      </c>
      <c r="I344">
        <v>0.5561097256857827</v>
      </c>
      <c r="J344" s="2">
        <v>44353.98666674922</v>
      </c>
      <c r="K344">
        <f t="shared" si="5"/>
        <v>-0.10999999999999988</v>
      </c>
      <c r="L344" s="2">
        <v>-0.01972859312617999</v>
      </c>
      <c r="Q344">
        <v>-0.06112601054531522</v>
      </c>
      <c r="R344">
        <f t="shared" si="6"/>
        <v>-0.10999999999999988</v>
      </c>
      <c r="S344">
        <v>-0.013635767962997985</v>
      </c>
    </row>
    <row r="345" spans="1:19" ht="12.75">
      <c r="A345" s="1">
        <f>DATE(1959,6,1)</f>
        <v>21702</v>
      </c>
      <c r="B345">
        <v>1959</v>
      </c>
      <c r="C345">
        <v>6</v>
      </c>
      <c r="D345">
        <v>3.25</v>
      </c>
      <c r="F345">
        <v>-0.15299264274914448</v>
      </c>
      <c r="I345">
        <v>0.5536159600997478</v>
      </c>
      <c r="J345" s="2">
        <v>44477.19590052264</v>
      </c>
      <c r="K345">
        <f t="shared" si="5"/>
        <v>0.3999999999999999</v>
      </c>
      <c r="L345" s="2">
        <v>-0.01707585605159714</v>
      </c>
      <c r="Q345">
        <v>-0.06461028807782083</v>
      </c>
      <c r="R345">
        <f t="shared" si="6"/>
        <v>0.3999999999999999</v>
      </c>
      <c r="S345">
        <v>-0.012735110238834942</v>
      </c>
    </row>
    <row r="346" spans="1:19" ht="12.75">
      <c r="A346" s="1">
        <f>DATE(1959,7,1)</f>
        <v>21732</v>
      </c>
      <c r="B346">
        <v>1959</v>
      </c>
      <c r="C346">
        <v>7</v>
      </c>
      <c r="D346">
        <v>3.24</v>
      </c>
      <c r="F346">
        <v>-0.15681562121809767</v>
      </c>
      <c r="I346">
        <v>0.5511221945137129</v>
      </c>
      <c r="J346" s="2">
        <v>44599.29764118345</v>
      </c>
      <c r="K346">
        <f t="shared" si="5"/>
        <v>-0.009999999999999787</v>
      </c>
      <c r="L346" s="2">
        <v>0.0010731936872661718</v>
      </c>
      <c r="Q346">
        <v>-0.06744206432237337</v>
      </c>
      <c r="R346">
        <f t="shared" si="6"/>
        <v>-0.009999999999999787</v>
      </c>
      <c r="S346">
        <v>-0.022253254884962305</v>
      </c>
    </row>
    <row r="347" spans="1:19" ht="12.75">
      <c r="A347" s="1">
        <f>DATE(1959,8,1)</f>
        <v>21763</v>
      </c>
      <c r="B347">
        <v>1959</v>
      </c>
      <c r="C347">
        <v>8</v>
      </c>
      <c r="D347">
        <v>3.36</v>
      </c>
      <c r="F347">
        <v>-0.16110226926930682</v>
      </c>
      <c r="I347">
        <v>0.5486284289276779</v>
      </c>
      <c r="J347" s="2">
        <v>44720.29688870057</v>
      </c>
      <c r="K347">
        <f t="shared" si="5"/>
        <v>0.11999999999999966</v>
      </c>
      <c r="L347" s="2">
        <v>0.025444087560586217</v>
      </c>
      <c r="Q347">
        <v>-0.06946907064435459</v>
      </c>
      <c r="R347">
        <f t="shared" si="6"/>
        <v>0.11999999999999966</v>
      </c>
      <c r="S347">
        <v>-0.024737650942830057</v>
      </c>
    </row>
    <row r="348" spans="1:19" ht="12.75">
      <c r="A348" s="1">
        <f>DATE(1959,9,1)</f>
        <v>21794</v>
      </c>
      <c r="B348">
        <v>1959</v>
      </c>
      <c r="C348">
        <v>9</v>
      </c>
      <c r="D348">
        <v>4</v>
      </c>
      <c r="F348">
        <v>-0.16499228748566308</v>
      </c>
      <c r="I348">
        <v>0.5461346633416431</v>
      </c>
      <c r="J348" s="2">
        <v>44840.198643042895</v>
      </c>
      <c r="K348">
        <f t="shared" si="5"/>
        <v>0.6400000000000001</v>
      </c>
      <c r="L348" s="2">
        <v>0.0012406161711328604</v>
      </c>
      <c r="Q348">
        <v>-0.07117780600341209</v>
      </c>
      <c r="R348">
        <f t="shared" si="6"/>
        <v>0.6400000000000001</v>
      </c>
      <c r="S348">
        <v>0.0010648300298809346</v>
      </c>
    </row>
    <row r="349" spans="1:19" ht="12.75">
      <c r="A349" s="1">
        <f>DATE(1959,10,1)</f>
        <v>21824</v>
      </c>
      <c r="B349">
        <v>1959</v>
      </c>
      <c r="C349">
        <v>10</v>
      </c>
      <c r="D349">
        <v>4.12</v>
      </c>
      <c r="F349">
        <v>-0.16945924218623926</v>
      </c>
      <c r="I349">
        <v>0.5436408977556082</v>
      </c>
      <c r="J349" s="2">
        <v>44959.00790417933</v>
      </c>
      <c r="K349">
        <f t="shared" si="5"/>
        <v>0.1200000000000001</v>
      </c>
      <c r="L349" s="2">
        <v>0.0294205985097197</v>
      </c>
      <c r="Q349">
        <v>-0.073412243273334</v>
      </c>
      <c r="R349">
        <f t="shared" si="6"/>
        <v>0.1200000000000001</v>
      </c>
      <c r="S349">
        <v>0.007027731995638904</v>
      </c>
    </row>
    <row r="350" spans="1:19" ht="12.75">
      <c r="A350" s="1">
        <f>DATE(1959,11,1)</f>
        <v>21855</v>
      </c>
      <c r="B350">
        <v>1959</v>
      </c>
      <c r="C350">
        <v>11</v>
      </c>
      <c r="D350">
        <v>4.21</v>
      </c>
      <c r="F350">
        <v>-0.1743992124501742</v>
      </c>
      <c r="I350">
        <v>0.5411471321695733</v>
      </c>
      <c r="J350" s="2">
        <v>45076.72967207878</v>
      </c>
      <c r="K350">
        <f t="shared" si="5"/>
        <v>0.08999999999999986</v>
      </c>
      <c r="L350" s="2">
        <v>0.034392522186781134</v>
      </c>
      <c r="Q350">
        <v>-0.07566415949594608</v>
      </c>
      <c r="R350">
        <f t="shared" si="6"/>
        <v>0.08999999999999986</v>
      </c>
      <c r="S350">
        <v>-0.006542307799551718</v>
      </c>
    </row>
    <row r="351" spans="1:19" ht="12.75">
      <c r="A351" s="1">
        <f>DATE(1959,12,1)</f>
        <v>21885</v>
      </c>
      <c r="B351">
        <v>1959</v>
      </c>
      <c r="C351">
        <v>12</v>
      </c>
      <c r="D351">
        <v>4.57</v>
      </c>
      <c r="F351">
        <v>-0.17960233187592511</v>
      </c>
      <c r="I351">
        <v>0.5386533665835385</v>
      </c>
      <c r="J351" s="2">
        <v>45193.36894671015</v>
      </c>
      <c r="K351">
        <f t="shared" si="5"/>
        <v>0.3600000000000003</v>
      </c>
      <c r="L351" s="2">
        <v>0.027117612190310805</v>
      </c>
      <c r="Q351">
        <v>-0.07791131101491743</v>
      </c>
      <c r="R351">
        <f t="shared" si="6"/>
        <v>0.3600000000000003</v>
      </c>
      <c r="S351">
        <v>0.004908567230699165</v>
      </c>
    </row>
    <row r="352" spans="1:19" ht="12.75">
      <c r="A352" s="1">
        <f>DATE(1960,1,1)</f>
        <v>21916</v>
      </c>
      <c r="B352">
        <v>1960</v>
      </c>
      <c r="C352">
        <v>1</v>
      </c>
      <c r="D352">
        <v>4.44</v>
      </c>
      <c r="F352">
        <v>-0.18437677153553647</v>
      </c>
      <c r="I352">
        <v>0.5361596009975035</v>
      </c>
      <c r="J352" s="2">
        <v>45308.93072804235</v>
      </c>
      <c r="K352">
        <f t="shared" si="5"/>
        <v>-0.1299999999999999</v>
      </c>
      <c r="L352" s="2">
        <v>0.007862803949988922</v>
      </c>
      <c r="Q352">
        <v>-0.08003220695504074</v>
      </c>
      <c r="R352">
        <f t="shared" si="6"/>
        <v>-0.1299999999999999</v>
      </c>
      <c r="S352">
        <v>-0.0033240114323186917</v>
      </c>
    </row>
    <row r="353" spans="1:19" ht="12.75">
      <c r="A353" s="1">
        <f>DATE(1960,2,1)</f>
        <v>21947</v>
      </c>
      <c r="B353">
        <v>1960</v>
      </c>
      <c r="C353">
        <v>2</v>
      </c>
      <c r="D353">
        <v>3.96</v>
      </c>
      <c r="F353">
        <v>-0.18756531248499184</v>
      </c>
      <c r="I353">
        <v>0.5336658354114686</v>
      </c>
      <c r="J353" s="2">
        <v>45423.42001604429</v>
      </c>
      <c r="K353">
        <f t="shared" si="5"/>
        <v>-0.4800000000000004</v>
      </c>
      <c r="L353" s="2">
        <v>-0.02906316669157501</v>
      </c>
      <c r="Q353">
        <v>-0.08261660028853676</v>
      </c>
      <c r="R353">
        <f t="shared" si="6"/>
        <v>-0.4800000000000004</v>
      </c>
      <c r="S353">
        <v>0.00859897905515943</v>
      </c>
    </row>
    <row r="354" spans="1:19" ht="12.75">
      <c r="A354" s="1">
        <f>DATE(1960,3,1)</f>
        <v>21976</v>
      </c>
      <c r="B354">
        <v>1960</v>
      </c>
      <c r="C354">
        <v>3</v>
      </c>
      <c r="D354">
        <v>3.44</v>
      </c>
      <c r="F354">
        <v>-0.19012076031697372</v>
      </c>
      <c r="I354">
        <v>0.5311720698254337</v>
      </c>
      <c r="J354" s="2">
        <v>45536.84181068487</v>
      </c>
      <c r="K354">
        <f t="shared" si="5"/>
        <v>-0.52</v>
      </c>
      <c r="L354" s="2">
        <v>-0.01843405466739686</v>
      </c>
      <c r="Q354">
        <v>-0.0855472706033201</v>
      </c>
      <c r="R354">
        <f t="shared" si="6"/>
        <v>-0.52</v>
      </c>
      <c r="S354">
        <v>-0.015591264087302126</v>
      </c>
    </row>
    <row r="355" spans="1:19" ht="12.75">
      <c r="A355" s="1">
        <f>DATE(1960,4,1)</f>
        <v>22007</v>
      </c>
      <c r="B355">
        <v>1960</v>
      </c>
      <c r="C355">
        <v>4</v>
      </c>
      <c r="D355">
        <v>3.25</v>
      </c>
      <c r="F355">
        <v>-0.19224704920752214</v>
      </c>
      <c r="I355">
        <v>0.5286783042393989</v>
      </c>
      <c r="J355" s="2">
        <v>45649.201111933</v>
      </c>
      <c r="K355">
        <f t="shared" si="5"/>
        <v>-0.18999999999999995</v>
      </c>
      <c r="L355" s="2">
        <v>1.9976928091145107E-05</v>
      </c>
      <c r="Q355">
        <v>-0.08776091288249538</v>
      </c>
      <c r="R355">
        <f t="shared" si="6"/>
        <v>-0.18999999999999995</v>
      </c>
      <c r="S355">
        <v>-0.020013878485422076</v>
      </c>
    </row>
    <row r="356" spans="1:19" ht="12.75">
      <c r="A356" s="1">
        <f>DATE(1960,5,1)</f>
        <v>22037</v>
      </c>
      <c r="B356">
        <v>1960</v>
      </c>
      <c r="C356">
        <v>5</v>
      </c>
      <c r="D356">
        <v>3.39</v>
      </c>
      <c r="F356">
        <v>-0.19262333098529352</v>
      </c>
      <c r="I356">
        <v>0.526184538653364</v>
      </c>
      <c r="J356" s="2">
        <v>45760.50291975758</v>
      </c>
      <c r="K356">
        <f t="shared" si="5"/>
        <v>0.14000000000000012</v>
      </c>
      <c r="L356" s="2">
        <v>-0.004560325209594289</v>
      </c>
      <c r="Q356">
        <v>-0.08988920128257186</v>
      </c>
      <c r="R356">
        <f t="shared" si="6"/>
        <v>0.14000000000000012</v>
      </c>
      <c r="S356">
        <v>0.0008467538274038908</v>
      </c>
    </row>
    <row r="357" spans="1:19" ht="12.75">
      <c r="A357" s="1">
        <f>DATE(1960,6,1)</f>
        <v>22068</v>
      </c>
      <c r="B357">
        <v>1960</v>
      </c>
      <c r="C357">
        <v>6</v>
      </c>
      <c r="D357">
        <v>2.64</v>
      </c>
      <c r="F357">
        <v>-0.1928590635177028</v>
      </c>
      <c r="I357">
        <v>0.523690773067329</v>
      </c>
      <c r="J357" s="2">
        <v>45870.75223412751</v>
      </c>
      <c r="K357">
        <f t="shared" si="5"/>
        <v>-0.75</v>
      </c>
      <c r="L357" s="2">
        <v>-0.012820396897175587</v>
      </c>
      <c r="Q357">
        <v>-0.0927532921145885</v>
      </c>
      <c r="R357">
        <f t="shared" si="6"/>
        <v>-0.75</v>
      </c>
      <c r="S357">
        <v>-0.00040151753863605215</v>
      </c>
    </row>
    <row r="358" spans="1:19" ht="12.75">
      <c r="A358" s="1">
        <f>DATE(1960,7,1)</f>
        <v>22098</v>
      </c>
      <c r="B358">
        <v>1960</v>
      </c>
      <c r="C358">
        <v>7</v>
      </c>
      <c r="D358">
        <v>2.4</v>
      </c>
      <c r="F358">
        <v>-0.19216537692297705</v>
      </c>
      <c r="I358">
        <v>0.5211970074812942</v>
      </c>
      <c r="J358" s="2">
        <v>45979.95405501171</v>
      </c>
      <c r="K358">
        <f t="shared" si="5"/>
        <v>-0.2400000000000002</v>
      </c>
      <c r="L358" s="2">
        <v>-0.002360396846690606</v>
      </c>
      <c r="Q358">
        <v>-0.09568233107455262</v>
      </c>
      <c r="R358">
        <f t="shared" si="6"/>
        <v>-0.2400000000000002</v>
      </c>
      <c r="S358">
        <v>-0.0037574344345166055</v>
      </c>
    </row>
    <row r="359" spans="1:19" ht="12.75">
      <c r="A359" s="1">
        <f>DATE(1960,8,1)</f>
        <v>22129</v>
      </c>
      <c r="B359">
        <v>1960</v>
      </c>
      <c r="C359">
        <v>8</v>
      </c>
      <c r="D359">
        <v>2.29</v>
      </c>
      <c r="F359">
        <v>-0.1925117895180322</v>
      </c>
      <c r="I359">
        <v>0.5187032418952593</v>
      </c>
      <c r="J359" s="2">
        <v>46088.11338237907</v>
      </c>
      <c r="K359">
        <f t="shared" si="5"/>
        <v>-0.10999999999999988</v>
      </c>
      <c r="L359" s="2">
        <v>0.06403269584472439</v>
      </c>
      <c r="Q359">
        <v>-0.09840361195373883</v>
      </c>
      <c r="R359">
        <f t="shared" si="6"/>
        <v>-0.10999999999999988</v>
      </c>
      <c r="S359">
        <v>-0.02349546937763479</v>
      </c>
    </row>
    <row r="360" spans="1:19" ht="12.75">
      <c r="A360" s="1">
        <f>DATE(1960,9,1)</f>
        <v>22160</v>
      </c>
      <c r="B360">
        <v>1960</v>
      </c>
      <c r="C360">
        <v>9</v>
      </c>
      <c r="D360">
        <v>2.49</v>
      </c>
      <c r="F360">
        <v>-0.19352358209723305</v>
      </c>
      <c r="I360">
        <v>0.5162094763092244</v>
      </c>
      <c r="J360" s="2">
        <v>46195.23521619851</v>
      </c>
      <c r="K360">
        <f t="shared" si="5"/>
        <v>0.20000000000000018</v>
      </c>
      <c r="L360" s="2">
        <v>0.048397193791516135</v>
      </c>
      <c r="Q360">
        <v>-0.10018194794123292</v>
      </c>
      <c r="R360">
        <f t="shared" si="6"/>
        <v>0.20000000000000018</v>
      </c>
      <c r="S360">
        <v>-0.026852264166521884</v>
      </c>
    </row>
    <row r="361" spans="1:19" ht="12.75">
      <c r="A361" s="1">
        <f>DATE(1960,10,1)</f>
        <v>22190</v>
      </c>
      <c r="B361">
        <v>1960</v>
      </c>
      <c r="C361">
        <v>10</v>
      </c>
      <c r="D361">
        <v>2.43</v>
      </c>
      <c r="F361">
        <v>-0.1947994208921212</v>
      </c>
      <c r="I361">
        <v>0.5137157107231896</v>
      </c>
      <c r="J361" s="2">
        <v>46301.32455643893</v>
      </c>
      <c r="K361">
        <f t="shared" si="5"/>
        <v>-0.06000000000000005</v>
      </c>
      <c r="L361" s="2">
        <v>0.0302621698456508</v>
      </c>
      <c r="Q361">
        <v>-0.10099316903374433</v>
      </c>
      <c r="R361">
        <f t="shared" si="6"/>
        <v>-0.06000000000000005</v>
      </c>
      <c r="S361">
        <v>-0.03166281281014345</v>
      </c>
    </row>
    <row r="362" spans="1:19" ht="12.75">
      <c r="A362" s="1">
        <f>DATE(1960,11,1)</f>
        <v>22221</v>
      </c>
      <c r="B362">
        <v>1960</v>
      </c>
      <c r="C362">
        <v>11</v>
      </c>
      <c r="D362">
        <v>2.39</v>
      </c>
      <c r="F362">
        <v>-0.19714446067176658</v>
      </c>
      <c r="I362">
        <v>0.5112219451371546</v>
      </c>
      <c r="J362" s="2">
        <v>46406.386403069235</v>
      </c>
      <c r="K362">
        <f t="shared" si="5"/>
        <v>-0.040000000000000036</v>
      </c>
      <c r="L362" s="2">
        <v>0.01569186105719352</v>
      </c>
      <c r="Q362">
        <v>-0.10112752888369514</v>
      </c>
      <c r="R362">
        <f t="shared" si="6"/>
        <v>-0.040000000000000036</v>
      </c>
      <c r="S362">
        <v>-0.02540768439176737</v>
      </c>
    </row>
    <row r="363" spans="1:19" ht="12.75">
      <c r="A363" s="1">
        <f>DATE(1960,12,1)</f>
        <v>22251</v>
      </c>
      <c r="B363">
        <v>1960</v>
      </c>
      <c r="C363">
        <v>12</v>
      </c>
      <c r="D363">
        <v>2.27</v>
      </c>
      <c r="F363">
        <v>-0.19960866539417138</v>
      </c>
      <c r="I363">
        <v>0.5087281795511197</v>
      </c>
      <c r="J363" s="2">
        <v>46510.425756058336</v>
      </c>
      <c r="K363">
        <f t="shared" si="5"/>
        <v>-0.1200000000000001</v>
      </c>
      <c r="L363" s="2">
        <v>-0.00941833309597483</v>
      </c>
      <c r="Q363">
        <v>-0.10112966725497086</v>
      </c>
      <c r="R363">
        <f t="shared" si="6"/>
        <v>-0.1200000000000001</v>
      </c>
      <c r="S363">
        <v>-0.0017747635082980668</v>
      </c>
    </row>
    <row r="364" spans="1:19" ht="12.75">
      <c r="A364" s="1">
        <f>DATE(1961,1,1)</f>
        <v>22282</v>
      </c>
      <c r="B364">
        <v>1961</v>
      </c>
      <c r="C364">
        <v>1</v>
      </c>
      <c r="D364">
        <v>2.3</v>
      </c>
      <c r="F364">
        <v>-0.20225743276200425</v>
      </c>
      <c r="I364">
        <v>0.5062344139650848</v>
      </c>
      <c r="J364" s="2">
        <v>46613.44761537513</v>
      </c>
      <c r="K364">
        <f t="shared" si="5"/>
        <v>0.029999999999999805</v>
      </c>
      <c r="L364" s="2">
        <v>0.020824869656424792</v>
      </c>
      <c r="Q364">
        <v>-0.10140696418408245</v>
      </c>
      <c r="R364">
        <f t="shared" si="6"/>
        <v>0.029999999999999805</v>
      </c>
      <c r="S364">
        <v>0.024775573467695176</v>
      </c>
    </row>
    <row r="365" spans="1:19" ht="12.75">
      <c r="A365" s="1">
        <f>DATE(1961,2,1)</f>
        <v>22313</v>
      </c>
      <c r="B365">
        <v>1961</v>
      </c>
      <c r="C365">
        <v>2</v>
      </c>
      <c r="D365">
        <v>2.41</v>
      </c>
      <c r="F365">
        <v>-0.20346898839356062</v>
      </c>
      <c r="I365">
        <v>0.50374064837905</v>
      </c>
      <c r="J365" s="2">
        <v>46715.45698098853</v>
      </c>
      <c r="K365">
        <f t="shared" si="5"/>
        <v>0.11000000000000032</v>
      </c>
      <c r="L365" s="2">
        <v>-0.007045193455130567</v>
      </c>
      <c r="Q365">
        <v>-0.10166290889733613</v>
      </c>
      <c r="R365">
        <f t="shared" si="6"/>
        <v>0.11000000000000032</v>
      </c>
      <c r="S365">
        <v>0.012233291742725194</v>
      </c>
    </row>
    <row r="366" spans="1:19" ht="12.75">
      <c r="A366" s="1">
        <f>DATE(1961,3,1)</f>
        <v>22341</v>
      </c>
      <c r="B366">
        <v>1961</v>
      </c>
      <c r="C366">
        <v>3</v>
      </c>
      <c r="D366">
        <v>2.42</v>
      </c>
      <c r="F366">
        <v>-0.20295625265311712</v>
      </c>
      <c r="I366">
        <v>0.501246882793015</v>
      </c>
      <c r="J366" s="2">
        <v>46816.458852867436</v>
      </c>
      <c r="K366">
        <f aca="true" t="shared" si="7" ref="K366:K429">D366-D365</f>
        <v>0.009999999999999787</v>
      </c>
      <c r="L366" s="2">
        <v>0.004148662347892733</v>
      </c>
      <c r="Q366">
        <v>-0.10237759047003377</v>
      </c>
      <c r="R366">
        <f t="shared" si="6"/>
        <v>0.009999999999999787</v>
      </c>
      <c r="S366">
        <v>0.004170923698961254</v>
      </c>
    </row>
    <row r="367" spans="1:19" ht="12.75">
      <c r="A367" s="1">
        <f>DATE(1961,4,1)</f>
        <v>22372</v>
      </c>
      <c r="B367">
        <v>1961</v>
      </c>
      <c r="C367">
        <v>4</v>
      </c>
      <c r="D367">
        <v>2.33</v>
      </c>
      <c r="F367">
        <v>-0.20212747457837005</v>
      </c>
      <c r="I367">
        <v>0.4987531172069802</v>
      </c>
      <c r="J367" s="2">
        <v>46916.45823098075</v>
      </c>
      <c r="K367">
        <f t="shared" si="7"/>
        <v>-0.08999999999999986</v>
      </c>
      <c r="L367" s="2">
        <v>0.006782000595265504</v>
      </c>
      <c r="Q367">
        <v>-0.10494471758594016</v>
      </c>
      <c r="R367">
        <f t="shared" si="6"/>
        <v>-0.08999999999999986</v>
      </c>
      <c r="S367">
        <v>0.04808461873082632</v>
      </c>
    </row>
    <row r="368" spans="1:19" ht="12.75">
      <c r="A368" s="1">
        <f>DATE(1961,5,1)</f>
        <v>22402</v>
      </c>
      <c r="B368">
        <v>1961</v>
      </c>
      <c r="C368">
        <v>5</v>
      </c>
      <c r="D368">
        <v>2.29</v>
      </c>
      <c r="F368">
        <v>-0.20056947481038295</v>
      </c>
      <c r="I368">
        <v>0.49625935162094525</v>
      </c>
      <c r="J368" s="2">
        <v>47015.46011529739</v>
      </c>
      <c r="K368">
        <f t="shared" si="7"/>
        <v>-0.040000000000000036</v>
      </c>
      <c r="L368" s="2">
        <v>-0.011484602547760025</v>
      </c>
      <c r="Q368">
        <v>-0.10859127022324731</v>
      </c>
      <c r="R368">
        <f t="shared" si="6"/>
        <v>-0.040000000000000036</v>
      </c>
      <c r="S368">
        <v>0.039591443432808016</v>
      </c>
    </row>
    <row r="369" spans="1:19" ht="12.75">
      <c r="A369" s="1">
        <f>DATE(1961,6,1)</f>
        <v>22433</v>
      </c>
      <c r="B369">
        <v>1961</v>
      </c>
      <c r="C369">
        <v>6</v>
      </c>
      <c r="D369">
        <v>2.36</v>
      </c>
      <c r="F369">
        <v>-0.19863911163460815</v>
      </c>
      <c r="I369">
        <v>0.4937655860349104</v>
      </c>
      <c r="J369" s="2">
        <v>47113.469505786255</v>
      </c>
      <c r="K369">
        <f t="shared" si="7"/>
        <v>0.06999999999999984</v>
      </c>
      <c r="L369" s="2">
        <v>0.007874908931432301</v>
      </c>
      <c r="Q369">
        <v>-0.11162121690498825</v>
      </c>
      <c r="R369">
        <f t="shared" si="6"/>
        <v>0.06999999999999984</v>
      </c>
      <c r="S369">
        <v>-0.005888564526665759</v>
      </c>
    </row>
    <row r="370" spans="1:19" ht="12.75">
      <c r="A370" s="1">
        <f>DATE(1961,7,1)</f>
        <v>22463</v>
      </c>
      <c r="B370">
        <v>1961</v>
      </c>
      <c r="C370">
        <v>7</v>
      </c>
      <c r="D370">
        <v>2.27</v>
      </c>
      <c r="F370">
        <v>-0.1970202194726203</v>
      </c>
      <c r="I370">
        <v>0.49127182044887546</v>
      </c>
      <c r="J370" s="2">
        <v>47210.49140241625</v>
      </c>
      <c r="K370">
        <f t="shared" si="7"/>
        <v>-0.08999999999999986</v>
      </c>
      <c r="L370" s="2">
        <v>0.0046029898806119835</v>
      </c>
      <c r="Q370">
        <v>-0.1138183050894924</v>
      </c>
      <c r="R370">
        <f t="shared" si="6"/>
        <v>-0.08999999999999986</v>
      </c>
      <c r="S370">
        <v>-0.03946875742657136</v>
      </c>
    </row>
    <row r="371" spans="1:19" ht="12.75">
      <c r="A371" s="1">
        <f>DATE(1961,8,1)</f>
        <v>22494</v>
      </c>
      <c r="B371">
        <v>1961</v>
      </c>
      <c r="C371">
        <v>8</v>
      </c>
      <c r="D371">
        <v>2.4</v>
      </c>
      <c r="F371">
        <v>-0.19566393482165476</v>
      </c>
      <c r="I371">
        <v>0.4887780548628406</v>
      </c>
      <c r="J371" s="2">
        <v>47306.53080515628</v>
      </c>
      <c r="K371">
        <f t="shared" si="7"/>
        <v>0.1299999999999999</v>
      </c>
      <c r="L371" s="2">
        <v>0.0010847991052087523</v>
      </c>
      <c r="Q371">
        <v>-0.11561110772219968</v>
      </c>
      <c r="R371">
        <f t="shared" si="6"/>
        <v>0.1299999999999999</v>
      </c>
      <c r="S371">
        <v>-0.017464183294694523</v>
      </c>
    </row>
    <row r="372" spans="1:19" ht="12.75">
      <c r="A372" s="1">
        <f>DATE(1961,9,1)</f>
        <v>22525</v>
      </c>
      <c r="B372">
        <v>1961</v>
      </c>
      <c r="C372">
        <v>9</v>
      </c>
      <c r="D372">
        <v>2.3</v>
      </c>
      <c r="F372">
        <v>-0.19583019518791742</v>
      </c>
      <c r="I372">
        <v>0.48628428927680567</v>
      </c>
      <c r="J372" s="2">
        <v>47401.59271397525</v>
      </c>
      <c r="K372">
        <f t="shared" si="7"/>
        <v>-0.10000000000000009</v>
      </c>
      <c r="L372" s="2">
        <v>-0.009206200113785402</v>
      </c>
      <c r="Q372">
        <v>-0.11703161018285611</v>
      </c>
      <c r="R372">
        <f t="shared" si="6"/>
        <v>-0.10000000000000009</v>
      </c>
      <c r="S372">
        <v>-0.0213027257212689</v>
      </c>
    </row>
    <row r="373" spans="1:19" ht="12.75">
      <c r="A373" s="1">
        <f>DATE(1961,10,1)</f>
        <v>22555</v>
      </c>
      <c r="B373">
        <v>1961</v>
      </c>
      <c r="C373">
        <v>10</v>
      </c>
      <c r="D373">
        <v>2.35</v>
      </c>
      <c r="F373">
        <v>-0.19731302120684413</v>
      </c>
      <c r="I373">
        <v>0.4837905236907708</v>
      </c>
      <c r="J373" s="2">
        <v>47495.682128842076</v>
      </c>
      <c r="K373">
        <f t="shared" si="7"/>
        <v>0.050000000000000266</v>
      </c>
      <c r="L373" s="2">
        <v>-0.0021618213144429816</v>
      </c>
      <c r="Q373">
        <v>-0.11805745703094615</v>
      </c>
      <c r="R373">
        <f t="shared" si="6"/>
        <v>0.050000000000000266</v>
      </c>
      <c r="S373">
        <v>-0.015717070295393903</v>
      </c>
    </row>
    <row r="374" spans="1:19" ht="12.75">
      <c r="A374" s="1">
        <f>DATE(1961,11,1)</f>
        <v>22586</v>
      </c>
      <c r="B374">
        <v>1961</v>
      </c>
      <c r="C374">
        <v>11</v>
      </c>
      <c r="D374">
        <v>2.46</v>
      </c>
      <c r="F374">
        <v>-0.19956046011074233</v>
      </c>
      <c r="I374">
        <v>0.48129675810473593</v>
      </c>
      <c r="J374" s="2">
        <v>47588.80404972565</v>
      </c>
      <c r="K374">
        <f t="shared" si="7"/>
        <v>0.10999999999999988</v>
      </c>
      <c r="L374" s="2">
        <v>0.006990417089182164</v>
      </c>
      <c r="Q374">
        <v>-0.11864086574435906</v>
      </c>
      <c r="R374">
        <f t="shared" si="6"/>
        <v>0.10999999999999988</v>
      </c>
      <c r="S374">
        <v>-0.008164715831942308</v>
      </c>
    </row>
    <row r="375" spans="1:19" ht="12.75">
      <c r="A375" s="1">
        <f>DATE(1961,12,1)</f>
        <v>22616</v>
      </c>
      <c r="B375">
        <v>1961</v>
      </c>
      <c r="C375">
        <v>12</v>
      </c>
      <c r="D375">
        <v>2.62</v>
      </c>
      <c r="F375">
        <v>-0.20310688017173764</v>
      </c>
      <c r="I375">
        <v>0.478802992518701</v>
      </c>
      <c r="J375" s="2">
        <v>47680.96347659489</v>
      </c>
      <c r="K375">
        <f t="shared" si="7"/>
        <v>0.16000000000000014</v>
      </c>
      <c r="L375" s="2">
        <v>0.03512558645407631</v>
      </c>
      <c r="Q375">
        <v>-0.11887469881555186</v>
      </c>
      <c r="R375">
        <f t="shared" si="6"/>
        <v>0.16000000000000014</v>
      </c>
      <c r="S375">
        <v>-0.006707901080287488</v>
      </c>
    </row>
    <row r="376" spans="1:19" ht="12.75">
      <c r="A376" s="1">
        <f>DATE(1962,1,1)</f>
        <v>22647</v>
      </c>
      <c r="B376">
        <v>1962</v>
      </c>
      <c r="C376">
        <v>1</v>
      </c>
      <c r="D376">
        <v>2.75</v>
      </c>
      <c r="F376">
        <v>-0.20734503426865603</v>
      </c>
      <c r="I376">
        <v>0.47630922693266614</v>
      </c>
      <c r="J376" s="2">
        <v>47772.16540941869</v>
      </c>
      <c r="K376">
        <f t="shared" si="7"/>
        <v>0.1299999999999999</v>
      </c>
      <c r="L376" s="2">
        <v>0.01174618410784383</v>
      </c>
      <c r="Q376">
        <v>-0.11964044974048374</v>
      </c>
      <c r="R376">
        <f t="shared" si="6"/>
        <v>0.1299999999999999</v>
      </c>
      <c r="S376">
        <v>0.03271050430806586</v>
      </c>
    </row>
    <row r="377" spans="1:19" ht="12.75">
      <c r="A377" s="1">
        <f>DATE(1962,2,1)</f>
        <v>22678</v>
      </c>
      <c r="B377">
        <v>1962</v>
      </c>
      <c r="C377">
        <v>2</v>
      </c>
      <c r="D377">
        <v>2.76</v>
      </c>
      <c r="F377">
        <v>-0.21147995290703475</v>
      </c>
      <c r="I377">
        <v>0.4738154613466312</v>
      </c>
      <c r="J377" s="2">
        <v>47862.41484816596</v>
      </c>
      <c r="K377">
        <f t="shared" si="7"/>
        <v>0.009999999999999787</v>
      </c>
      <c r="L377" s="2">
        <v>-0.0029424281594300082</v>
      </c>
      <c r="Q377">
        <v>-0.1213557470287341</v>
      </c>
      <c r="R377">
        <f t="shared" si="6"/>
        <v>0.009999999999999787</v>
      </c>
      <c r="S377">
        <v>0.05060827134002078</v>
      </c>
    </row>
    <row r="378" spans="1:19" ht="12.75">
      <c r="A378" s="1">
        <f>DATE(1962,3,1)</f>
        <v>22706</v>
      </c>
      <c r="B378">
        <v>1962</v>
      </c>
      <c r="C378">
        <v>3</v>
      </c>
      <c r="D378">
        <v>2.72</v>
      </c>
      <c r="F378">
        <v>-0.21524866845764123</v>
      </c>
      <c r="I378">
        <v>0.47132169576059635</v>
      </c>
      <c r="J378" s="2">
        <v>47951.71679280561</v>
      </c>
      <c r="K378">
        <f t="shared" si="7"/>
        <v>-0.03999999999999959</v>
      </c>
      <c r="L378" s="2">
        <v>-0.022750055129857734</v>
      </c>
      <c r="Q378">
        <v>-0.12366260668472964</v>
      </c>
      <c r="R378">
        <f t="shared" si="6"/>
        <v>-0.03999999999999959</v>
      </c>
      <c r="S378">
        <v>0.02382986408024029</v>
      </c>
    </row>
    <row r="379" spans="1:19" ht="12.75">
      <c r="A379" s="1">
        <f>DATE(1962,4,1)</f>
        <v>22737</v>
      </c>
      <c r="B379">
        <v>1962</v>
      </c>
      <c r="C379">
        <v>4</v>
      </c>
      <c r="D379">
        <v>2.74</v>
      </c>
      <c r="F379">
        <v>-0.21906574240249205</v>
      </c>
      <c r="I379">
        <v>0.4688279301745614</v>
      </c>
      <c r="J379" s="2">
        <v>48040.07624330654</v>
      </c>
      <c r="K379">
        <f t="shared" si="7"/>
        <v>0.020000000000000018</v>
      </c>
      <c r="L379" s="2">
        <v>-0.006503595112319046</v>
      </c>
      <c r="Q379">
        <v>-0.12606198226829096</v>
      </c>
      <c r="R379">
        <f t="shared" si="6"/>
        <v>0.020000000000000018</v>
      </c>
      <c r="S379">
        <v>0.005700335506769382</v>
      </c>
    </row>
    <row r="380" spans="1:19" ht="12.75">
      <c r="A380" s="1">
        <f>DATE(1962,5,1)</f>
        <v>22767</v>
      </c>
      <c r="B380">
        <v>1962</v>
      </c>
      <c r="C380">
        <v>5</v>
      </c>
      <c r="D380">
        <v>2.7</v>
      </c>
      <c r="F380">
        <v>-0.22201245365966896</v>
      </c>
      <c r="I380">
        <v>0.46633416458852656</v>
      </c>
      <c r="J380" s="2">
        <v>48127.49819963766</v>
      </c>
      <c r="K380">
        <f t="shared" si="7"/>
        <v>-0.040000000000000036</v>
      </c>
      <c r="L380" s="2">
        <v>0.0015756484797274065</v>
      </c>
      <c r="Q380">
        <v>-0.12894676556402795</v>
      </c>
      <c r="R380">
        <f t="shared" si="6"/>
        <v>-0.040000000000000036</v>
      </c>
      <c r="S380">
        <v>0.023386644296248753</v>
      </c>
    </row>
    <row r="381" spans="1:19" ht="12.75">
      <c r="A381" s="1">
        <f>DATE(1962,6,1)</f>
        <v>22798</v>
      </c>
      <c r="B381">
        <v>1962</v>
      </c>
      <c r="C381">
        <v>6</v>
      </c>
      <c r="D381">
        <v>2.72</v>
      </c>
      <c r="F381">
        <v>-0.22469255013297776</v>
      </c>
      <c r="I381">
        <v>0.4638403990024917</v>
      </c>
      <c r="J381" s="2">
        <v>48213.98766176787</v>
      </c>
      <c r="K381">
        <f t="shared" si="7"/>
        <v>0.020000000000000018</v>
      </c>
      <c r="L381" s="2">
        <v>-0.037405328568641066</v>
      </c>
      <c r="Q381">
        <v>-0.13243139389098818</v>
      </c>
      <c r="R381">
        <f t="shared" si="6"/>
        <v>0.020000000000000018</v>
      </c>
      <c r="S381">
        <v>0.03267861408606247</v>
      </c>
    </row>
    <row r="382" spans="1:19" ht="12.75">
      <c r="A382" s="1">
        <f>DATE(1962,7,1)</f>
        <v>22828</v>
      </c>
      <c r="B382">
        <v>1962</v>
      </c>
      <c r="C382">
        <v>7</v>
      </c>
      <c r="D382">
        <v>2.94</v>
      </c>
      <c r="F382">
        <v>-0.22668840314700672</v>
      </c>
      <c r="I382">
        <v>0.46134663341645676</v>
      </c>
      <c r="J382" s="2">
        <v>48299.54962966608</v>
      </c>
      <c r="K382">
        <f t="shared" si="7"/>
        <v>0.21999999999999975</v>
      </c>
      <c r="L382" s="2">
        <v>-0.03157206484655356</v>
      </c>
      <c r="Q382">
        <v>-0.13671586603512043</v>
      </c>
      <c r="R382">
        <f t="shared" si="6"/>
        <v>0.21999999999999975</v>
      </c>
      <c r="S382">
        <v>0.047110978050226106</v>
      </c>
    </row>
    <row r="383" spans="1:19" ht="12.75">
      <c r="A383" s="1">
        <f>DATE(1962,8,1)</f>
        <v>22859</v>
      </c>
      <c r="B383">
        <v>1962</v>
      </c>
      <c r="C383">
        <v>8</v>
      </c>
      <c r="D383">
        <v>2.84</v>
      </c>
      <c r="F383">
        <v>-0.23075437358828718</v>
      </c>
      <c r="I383">
        <v>0.4588528678304219</v>
      </c>
      <c r="J383" s="2">
        <v>48384.18910330119</v>
      </c>
      <c r="K383">
        <f t="shared" si="7"/>
        <v>-0.10000000000000009</v>
      </c>
      <c r="L383" s="2">
        <v>0.006556382253317468</v>
      </c>
      <c r="Q383">
        <v>-0.1411628240041259</v>
      </c>
      <c r="R383">
        <f aca="true" t="shared" si="8" ref="R383:R446">D383-D382</f>
        <v>-0.10000000000000009</v>
      </c>
      <c r="S383">
        <v>0.006637647298754341</v>
      </c>
    </row>
    <row r="384" spans="1:19" ht="12.75">
      <c r="A384" s="1">
        <f>DATE(1962,9,1)</f>
        <v>22890</v>
      </c>
      <c r="B384">
        <v>1962</v>
      </c>
      <c r="C384">
        <v>9</v>
      </c>
      <c r="D384">
        <v>2.79</v>
      </c>
      <c r="F384">
        <v>-0.2353401048226204</v>
      </c>
      <c r="I384">
        <v>0.45635910224438697</v>
      </c>
      <c r="J384" s="2">
        <v>48467.91108264212</v>
      </c>
      <c r="K384">
        <f t="shared" si="7"/>
        <v>-0.04999999999999982</v>
      </c>
      <c r="L384" s="2">
        <v>0.007267108312362494</v>
      </c>
      <c r="Q384">
        <v>-0.14543228452770865</v>
      </c>
      <c r="R384">
        <f t="shared" si="8"/>
        <v>-0.04999999999999982</v>
      </c>
      <c r="S384">
        <v>-0.008284970979036547</v>
      </c>
    </row>
    <row r="385" spans="1:19" ht="12.75">
      <c r="A385" s="1">
        <f>DATE(1962,10,1)</f>
        <v>22920</v>
      </c>
      <c r="B385">
        <v>1962</v>
      </c>
      <c r="C385">
        <v>10</v>
      </c>
      <c r="D385">
        <v>2.75</v>
      </c>
      <c r="F385">
        <v>-0.24105069917549188</v>
      </c>
      <c r="I385">
        <v>0.4538653366583521</v>
      </c>
      <c r="J385" s="2">
        <v>48550.72056765776</v>
      </c>
      <c r="K385">
        <f t="shared" si="7"/>
        <v>-0.040000000000000036</v>
      </c>
      <c r="L385" s="2">
        <v>0.008602592756358404</v>
      </c>
      <c r="Q385">
        <v>-0.14950221247502504</v>
      </c>
      <c r="R385">
        <f t="shared" si="8"/>
        <v>-0.040000000000000036</v>
      </c>
      <c r="S385">
        <v>-0.006102687009151058</v>
      </c>
    </row>
    <row r="386" spans="1:19" ht="12.75">
      <c r="A386" s="1">
        <f>DATE(1962,11,1)</f>
        <v>22951</v>
      </c>
      <c r="B386">
        <v>1962</v>
      </c>
      <c r="C386">
        <v>11</v>
      </c>
      <c r="D386">
        <v>2.8</v>
      </c>
      <c r="F386">
        <v>-0.24791772563471937</v>
      </c>
      <c r="I386">
        <v>0.45137157107231723</v>
      </c>
      <c r="J386" s="2">
        <v>48632.622558317016</v>
      </c>
      <c r="K386">
        <f t="shared" si="7"/>
        <v>0.04999999999999982</v>
      </c>
      <c r="L386" s="2">
        <v>-0.014183558763139386</v>
      </c>
      <c r="Q386">
        <v>-0.1526426492152264</v>
      </c>
      <c r="R386">
        <f t="shared" si="8"/>
        <v>0.04999999999999982</v>
      </c>
      <c r="S386">
        <v>-0.043954537860403584</v>
      </c>
    </row>
    <row r="387" spans="1:19" ht="12.75">
      <c r="A387" s="1">
        <f>DATE(1962,12,1)</f>
        <v>22981</v>
      </c>
      <c r="B387">
        <v>1962</v>
      </c>
      <c r="C387">
        <v>12</v>
      </c>
      <c r="D387">
        <v>2.86</v>
      </c>
      <c r="F387">
        <v>-0.25703455436252715</v>
      </c>
      <c r="I387">
        <v>0.4488778054862823</v>
      </c>
      <c r="J387" s="2">
        <v>48713.622054588806</v>
      </c>
      <c r="K387">
        <f t="shared" si="7"/>
        <v>0.06000000000000005</v>
      </c>
      <c r="L387" s="2">
        <v>-0.015286820479174954</v>
      </c>
      <c r="Q387">
        <v>-0.15528633463231065</v>
      </c>
      <c r="R387">
        <f t="shared" si="8"/>
        <v>0.06000000000000005</v>
      </c>
      <c r="S387">
        <v>-0.016776259931929268</v>
      </c>
    </row>
    <row r="388" spans="1:19" ht="12.75">
      <c r="A388" s="1">
        <f>DATE(1963,1,1)</f>
        <v>23012</v>
      </c>
      <c r="B388">
        <v>1963</v>
      </c>
      <c r="C388">
        <v>1</v>
      </c>
      <c r="D388">
        <v>2.91</v>
      </c>
      <c r="F388">
        <v>-0.26685996665061795</v>
      </c>
      <c r="I388">
        <v>0.44638403990024744</v>
      </c>
      <c r="J388" s="2">
        <v>48793.72405644203</v>
      </c>
      <c r="K388">
        <f t="shared" si="7"/>
        <v>0.050000000000000266</v>
      </c>
      <c r="L388" s="2">
        <v>-0.0012579564718128266</v>
      </c>
      <c r="Q388">
        <v>-0.15802705987476237</v>
      </c>
      <c r="R388">
        <f t="shared" si="8"/>
        <v>0.050000000000000266</v>
      </c>
      <c r="S388">
        <v>0.005901465102096509</v>
      </c>
    </row>
    <row r="389" spans="1:19" ht="12.75">
      <c r="A389" s="1">
        <f>DATE(1963,2,1)</f>
        <v>23043</v>
      </c>
      <c r="B389">
        <v>1963</v>
      </c>
      <c r="C389">
        <v>2</v>
      </c>
      <c r="D389">
        <v>2.92</v>
      </c>
      <c r="F389">
        <v>-0.2760846764208117</v>
      </c>
      <c r="I389">
        <v>0.4438902743142125</v>
      </c>
      <c r="J389" s="2">
        <v>48872.93356384559</v>
      </c>
      <c r="K389">
        <f t="shared" si="7"/>
        <v>0.009999999999999787</v>
      </c>
      <c r="L389" s="2">
        <v>-0.01868284827482945</v>
      </c>
      <c r="Q389">
        <v>-0.16074887581374966</v>
      </c>
      <c r="R389">
        <f t="shared" si="8"/>
        <v>0.009999999999999787</v>
      </c>
      <c r="S389">
        <v>0.0023183967278219237</v>
      </c>
    </row>
    <row r="390" spans="1:19" ht="12.75">
      <c r="A390" s="1">
        <f>DATE(1963,3,1)</f>
        <v>23071</v>
      </c>
      <c r="B390">
        <v>1963</v>
      </c>
      <c r="C390">
        <v>3</v>
      </c>
      <c r="D390">
        <v>2.9</v>
      </c>
      <c r="F390">
        <v>-0.28438964487239143</v>
      </c>
      <c r="I390">
        <v>0.44139650872817765</v>
      </c>
      <c r="J390" s="2">
        <v>48951.255576768395</v>
      </c>
      <c r="K390">
        <f t="shared" si="7"/>
        <v>-0.020000000000000018</v>
      </c>
      <c r="L390" s="2">
        <v>-0.035524203513283</v>
      </c>
      <c r="Q390">
        <v>-0.16391997922745372</v>
      </c>
      <c r="R390">
        <f t="shared" si="8"/>
        <v>-0.020000000000000018</v>
      </c>
      <c r="S390">
        <v>0.02460650052428811</v>
      </c>
    </row>
    <row r="391" spans="1:19" ht="12.75">
      <c r="A391" s="1">
        <f>DATE(1963,4,1)</f>
        <v>23102</v>
      </c>
      <c r="B391">
        <v>1963</v>
      </c>
      <c r="C391">
        <v>4</v>
      </c>
      <c r="D391">
        <v>2.91</v>
      </c>
      <c r="F391">
        <v>-0.292572046413442</v>
      </c>
      <c r="I391">
        <v>0.4389027431421427</v>
      </c>
      <c r="J391" s="2">
        <v>49028.69509517935</v>
      </c>
      <c r="K391">
        <f t="shared" si="7"/>
        <v>0.010000000000000231</v>
      </c>
      <c r="L391" s="2">
        <v>-0.012989774845041054</v>
      </c>
      <c r="Q391">
        <v>-0.16809977816072103</v>
      </c>
      <c r="R391">
        <f t="shared" si="8"/>
        <v>0.010000000000000231</v>
      </c>
      <c r="S391">
        <v>0.052916799408883775</v>
      </c>
    </row>
    <row r="392" spans="1:19" ht="12.75">
      <c r="A392" s="1">
        <f>DATE(1963,5,1)</f>
        <v>23132</v>
      </c>
      <c r="B392">
        <v>1963</v>
      </c>
      <c r="C392">
        <v>5</v>
      </c>
      <c r="D392">
        <v>2.92</v>
      </c>
      <c r="F392">
        <v>-0.29991476309468057</v>
      </c>
      <c r="I392">
        <v>0.43640897755610786</v>
      </c>
      <c r="J392" s="2">
        <v>49105.25711904736</v>
      </c>
      <c r="K392">
        <f t="shared" si="7"/>
        <v>0.009999999999999787</v>
      </c>
      <c r="L392" s="2">
        <v>-0.011797412983790506</v>
      </c>
      <c r="Q392">
        <v>-0.17340208724900022</v>
      </c>
      <c r="R392">
        <f t="shared" si="8"/>
        <v>0.009999999999999787</v>
      </c>
      <c r="S392">
        <v>0.05760318128321278</v>
      </c>
    </row>
    <row r="393" spans="1:19" ht="12.75">
      <c r="A393" s="1">
        <f>DATE(1963,6,1)</f>
        <v>23163</v>
      </c>
      <c r="B393">
        <v>1963</v>
      </c>
      <c r="C393">
        <v>6</v>
      </c>
      <c r="D393">
        <v>3</v>
      </c>
      <c r="F393">
        <v>-0.30661648527592267</v>
      </c>
      <c r="I393">
        <v>0.433915211970073</v>
      </c>
      <c r="J393" s="2">
        <v>49180.946648341334</v>
      </c>
      <c r="K393">
        <f t="shared" si="7"/>
        <v>0.08000000000000007</v>
      </c>
      <c r="L393" s="2">
        <v>-0.022942039792382123</v>
      </c>
      <c r="Q393">
        <v>-0.17981213084949385</v>
      </c>
      <c r="R393">
        <f t="shared" si="8"/>
        <v>0.08000000000000007</v>
      </c>
      <c r="S393">
        <v>0.05797349819492538</v>
      </c>
    </row>
    <row r="394" spans="1:19" ht="12.75">
      <c r="A394" s="1">
        <f>DATE(1963,7,1)</f>
        <v>23193</v>
      </c>
      <c r="B394">
        <v>1963</v>
      </c>
      <c r="C394">
        <v>7</v>
      </c>
      <c r="D394">
        <v>3.14</v>
      </c>
      <c r="F394">
        <v>-0.3128665767858003</v>
      </c>
      <c r="I394">
        <v>0.43142144638403807</v>
      </c>
      <c r="J394" s="2">
        <v>49255.768683030175</v>
      </c>
      <c r="K394">
        <f t="shared" si="7"/>
        <v>0.14000000000000012</v>
      </c>
      <c r="L394" s="2">
        <v>-0.025093960069452057</v>
      </c>
      <c r="Q394">
        <v>-0.18632066886631843</v>
      </c>
      <c r="R394">
        <f t="shared" si="8"/>
        <v>0.14000000000000012</v>
      </c>
      <c r="S394">
        <v>0.009423081521129572</v>
      </c>
    </row>
    <row r="395" spans="1:19" ht="12.75">
      <c r="A395" s="1">
        <f>DATE(1963,8,1)</f>
        <v>23224</v>
      </c>
      <c r="B395">
        <v>1963</v>
      </c>
      <c r="C395">
        <v>8</v>
      </c>
      <c r="D395">
        <v>3.32</v>
      </c>
      <c r="F395">
        <v>-0.3187731567808682</v>
      </c>
      <c r="I395">
        <v>0.4289276807980032</v>
      </c>
      <c r="J395" s="2">
        <v>49329.728223082784</v>
      </c>
      <c r="K395">
        <f t="shared" si="7"/>
        <v>0.17999999999999972</v>
      </c>
      <c r="L395" s="2">
        <v>0.002048253756759891</v>
      </c>
      <c r="Q395">
        <v>-0.19258764532855732</v>
      </c>
      <c r="R395">
        <f t="shared" si="8"/>
        <v>0.17999999999999972</v>
      </c>
      <c r="S395">
        <v>-0.003310542888550966</v>
      </c>
    </row>
    <row r="396" spans="1:19" ht="12.75">
      <c r="A396" s="1">
        <f>DATE(1963,9,1)</f>
        <v>23255</v>
      </c>
      <c r="B396">
        <v>1963</v>
      </c>
      <c r="C396">
        <v>9</v>
      </c>
      <c r="D396">
        <v>3.38</v>
      </c>
      <c r="F396">
        <v>-0.32531587351114416</v>
      </c>
      <c r="I396">
        <v>0.4264339152119683</v>
      </c>
      <c r="J396" s="2">
        <v>49402.830268468075</v>
      </c>
      <c r="K396">
        <f t="shared" si="7"/>
        <v>0.06000000000000005</v>
      </c>
      <c r="L396" s="2">
        <v>0.0076821782233382156</v>
      </c>
      <c r="Q396">
        <v>-0.19868412249823453</v>
      </c>
      <c r="R396">
        <f t="shared" si="8"/>
        <v>0.06000000000000005</v>
      </c>
      <c r="S396">
        <v>-0.007979009426264994</v>
      </c>
    </row>
    <row r="397" spans="1:19" ht="12.75">
      <c r="A397" s="1">
        <f>DATE(1963,10,1)</f>
        <v>23285</v>
      </c>
      <c r="B397">
        <v>1963</v>
      </c>
      <c r="C397">
        <v>10</v>
      </c>
      <c r="D397">
        <v>3.45</v>
      </c>
      <c r="F397">
        <v>-0.33171514413680797</v>
      </c>
      <c r="I397">
        <v>0.4239401496259334</v>
      </c>
      <c r="J397" s="2">
        <v>49475.07981915495</v>
      </c>
      <c r="K397">
        <f t="shared" si="7"/>
        <v>0.07000000000000028</v>
      </c>
      <c r="L397" s="2">
        <v>-0.007149057274889204</v>
      </c>
      <c r="Q397">
        <v>-0.20415191792795728</v>
      </c>
      <c r="R397">
        <f t="shared" si="8"/>
        <v>0.07000000000000028</v>
      </c>
      <c r="S397">
        <v>-0.030570671010541586</v>
      </c>
    </row>
    <row r="398" spans="1:19" ht="12.75">
      <c r="A398" s="1">
        <f>DATE(1963,11,1)</f>
        <v>23316</v>
      </c>
      <c r="B398">
        <v>1963</v>
      </c>
      <c r="C398">
        <v>11</v>
      </c>
      <c r="D398">
        <v>3.52</v>
      </c>
      <c r="F398">
        <v>-0.3378046258720414</v>
      </c>
      <c r="I398">
        <v>0.42144638403989854</v>
      </c>
      <c r="J398" s="2">
        <v>49546.48187511231</v>
      </c>
      <c r="K398">
        <f t="shared" si="7"/>
        <v>0.06999999999999984</v>
      </c>
      <c r="L398" s="2">
        <v>0.0045024632445414955</v>
      </c>
      <c r="Q398">
        <v>-0.20878545138336183</v>
      </c>
      <c r="R398">
        <f t="shared" si="8"/>
        <v>0.06999999999999984</v>
      </c>
      <c r="S398">
        <v>-0.03708397476878504</v>
      </c>
    </row>
    <row r="399" spans="1:19" ht="12.75">
      <c r="A399" s="1">
        <f>DATE(1963,12,1)</f>
        <v>23346</v>
      </c>
      <c r="B399">
        <v>1963</v>
      </c>
      <c r="C399">
        <v>12</v>
      </c>
      <c r="D399">
        <v>3.52</v>
      </c>
      <c r="F399">
        <v>-0.3446893417385243</v>
      </c>
      <c r="I399">
        <v>0.4189526184538636</v>
      </c>
      <c r="J399" s="2">
        <v>49617.04143630907</v>
      </c>
      <c r="K399">
        <f t="shared" si="7"/>
        <v>0</v>
      </c>
      <c r="L399" s="2">
        <v>-0.0031192520708576733</v>
      </c>
      <c r="Q399">
        <v>-0.21273416275865897</v>
      </c>
      <c r="R399">
        <f t="shared" si="8"/>
        <v>0</v>
      </c>
      <c r="S399">
        <v>-0.03302583058504101</v>
      </c>
    </row>
    <row r="400" spans="1:19" ht="12.75">
      <c r="A400" s="1">
        <f>DATE(1964,1,1)</f>
        <v>23377</v>
      </c>
      <c r="B400">
        <v>1964</v>
      </c>
      <c r="C400">
        <v>1</v>
      </c>
      <c r="D400">
        <v>3.53</v>
      </c>
      <c r="F400">
        <v>-0.35186993803469</v>
      </c>
      <c r="I400">
        <v>0.41645885286782874</v>
      </c>
      <c r="J400" s="2">
        <v>49686.76350271413</v>
      </c>
      <c r="K400">
        <f t="shared" si="7"/>
        <v>0.009999999999999787</v>
      </c>
      <c r="L400" s="2">
        <v>0.009174935304615097</v>
      </c>
      <c r="Q400">
        <v>-0.21608431878060005</v>
      </c>
      <c r="R400">
        <f t="shared" si="8"/>
        <v>0.009999999999999787</v>
      </c>
      <c r="S400">
        <v>-0.02743828589234523</v>
      </c>
    </row>
    <row r="401" spans="1:19" ht="12.75">
      <c r="A401" s="1">
        <f>DATE(1964,2,1)</f>
        <v>23408</v>
      </c>
      <c r="B401">
        <v>1964</v>
      </c>
      <c r="C401">
        <v>2</v>
      </c>
      <c r="D401">
        <v>3.53</v>
      </c>
      <c r="F401">
        <v>-0.3584846595464118</v>
      </c>
      <c r="I401">
        <v>0.4139650872817938</v>
      </c>
      <c r="J401" s="2">
        <v>49755.653074296395</v>
      </c>
      <c r="K401">
        <f t="shared" si="7"/>
        <v>0</v>
      </c>
      <c r="L401" s="2">
        <v>-0.015387992382424043</v>
      </c>
      <c r="Q401">
        <v>-0.21905706826984966</v>
      </c>
      <c r="R401">
        <f t="shared" si="8"/>
        <v>0</v>
      </c>
      <c r="S401">
        <v>-0.018360235525751434</v>
      </c>
    </row>
    <row r="402" spans="1:19" ht="12.75">
      <c r="A402" s="1">
        <f>DATE(1964,3,1)</f>
        <v>23437</v>
      </c>
      <c r="B402">
        <v>1964</v>
      </c>
      <c r="C402">
        <v>3</v>
      </c>
      <c r="D402">
        <v>3.55</v>
      </c>
      <c r="F402">
        <v>-0.3638889141279426</v>
      </c>
      <c r="I402">
        <v>0.41147132169575895</v>
      </c>
      <c r="J402" s="2">
        <v>49823.71515102477</v>
      </c>
      <c r="K402">
        <f t="shared" si="7"/>
        <v>0.020000000000000018</v>
      </c>
      <c r="L402" s="2">
        <v>-0.020172738382812732</v>
      </c>
      <c r="Q402">
        <v>-0.22164653835703857</v>
      </c>
      <c r="R402">
        <f t="shared" si="8"/>
        <v>0.020000000000000018</v>
      </c>
      <c r="S402">
        <v>-0.018717161073464807</v>
      </c>
    </row>
    <row r="403" spans="1:19" ht="12.75">
      <c r="A403" s="1">
        <f>DATE(1964,4,1)</f>
        <v>23468</v>
      </c>
      <c r="B403">
        <v>1964</v>
      </c>
      <c r="C403">
        <v>4</v>
      </c>
      <c r="D403">
        <v>3.48</v>
      </c>
      <c r="F403">
        <v>-0.3682501290454722</v>
      </c>
      <c r="I403">
        <v>0.408977556109724</v>
      </c>
      <c r="J403" s="2">
        <v>49890.954732868166</v>
      </c>
      <c r="K403">
        <f t="shared" si="7"/>
        <v>-0.06999999999999984</v>
      </c>
      <c r="L403" s="2">
        <v>0.0009156862846798679</v>
      </c>
      <c r="Q403">
        <v>-0.22374472634642417</v>
      </c>
      <c r="R403">
        <f t="shared" si="8"/>
        <v>-0.06999999999999984</v>
      </c>
      <c r="S403">
        <v>-0.024160794814552508</v>
      </c>
    </row>
    <row r="404" spans="1:19" ht="12.75">
      <c r="A404" s="1">
        <f>DATE(1964,5,1)</f>
        <v>23498</v>
      </c>
      <c r="B404">
        <v>1964</v>
      </c>
      <c r="C404">
        <v>5</v>
      </c>
      <c r="D404">
        <v>3.48</v>
      </c>
      <c r="F404">
        <v>-0.37105777691327185</v>
      </c>
      <c r="I404">
        <v>0.40648379052368916</v>
      </c>
      <c r="J404" s="2">
        <v>49957.376819795485</v>
      </c>
      <c r="K404">
        <f t="shared" si="7"/>
        <v>0</v>
      </c>
      <c r="L404" s="2">
        <v>-0.00031012340040316065</v>
      </c>
      <c r="Q404">
        <v>-0.22531779069812286</v>
      </c>
      <c r="R404">
        <f t="shared" si="8"/>
        <v>0</v>
      </c>
      <c r="S404">
        <v>-0.027811185774502763</v>
      </c>
    </row>
    <row r="405" spans="1:19" ht="12.75">
      <c r="A405" s="1">
        <f>DATE(1964,6,1)</f>
        <v>23529</v>
      </c>
      <c r="B405">
        <v>1964</v>
      </c>
      <c r="C405">
        <v>6</v>
      </c>
      <c r="D405">
        <v>3.48</v>
      </c>
      <c r="F405">
        <v>-0.37158415313183785</v>
      </c>
      <c r="I405">
        <v>0.4039900249376543</v>
      </c>
      <c r="J405" s="2">
        <v>50022.98641177564</v>
      </c>
      <c r="K405">
        <f t="shared" si="7"/>
        <v>0</v>
      </c>
      <c r="L405" s="2">
        <v>-0.003325910178591565</v>
      </c>
      <c r="Q405">
        <v>-0.22701454868995907</v>
      </c>
      <c r="R405">
        <f t="shared" si="8"/>
        <v>0</v>
      </c>
      <c r="S405">
        <v>0.0057090887761001045</v>
      </c>
    </row>
    <row r="406" spans="1:19" ht="12.75">
      <c r="A406" s="1">
        <f>DATE(1964,7,1)</f>
        <v>23559</v>
      </c>
      <c r="B406">
        <v>1964</v>
      </c>
      <c r="C406">
        <v>7</v>
      </c>
      <c r="D406">
        <v>3.48</v>
      </c>
      <c r="F406">
        <v>-0.3703173381114093</v>
      </c>
      <c r="I406">
        <v>0.40149625935161937</v>
      </c>
      <c r="J406" s="2">
        <v>50087.78850877752</v>
      </c>
      <c r="K406">
        <f t="shared" si="7"/>
        <v>0</v>
      </c>
      <c r="L406" s="2">
        <v>-0.023740549847163676</v>
      </c>
      <c r="Q406">
        <v>-0.2288055767412426</v>
      </c>
      <c r="R406">
        <f t="shared" si="8"/>
        <v>0</v>
      </c>
      <c r="S406">
        <v>0.005183576967888532</v>
      </c>
    </row>
    <row r="407" spans="1:19" ht="12.75">
      <c r="A407" s="1">
        <f>DATE(1964,8,1)</f>
        <v>23590</v>
      </c>
      <c r="B407">
        <v>1964</v>
      </c>
      <c r="C407">
        <v>8</v>
      </c>
      <c r="D407">
        <v>3.51</v>
      </c>
      <c r="F407">
        <v>-0.3689984120410212</v>
      </c>
      <c r="I407">
        <v>0.3990024937655845</v>
      </c>
      <c r="J407" s="2">
        <v>50151.788110770045</v>
      </c>
      <c r="K407">
        <f t="shared" si="7"/>
        <v>0.029999999999999805</v>
      </c>
      <c r="L407" s="2">
        <v>-0.026880990891054873</v>
      </c>
      <c r="Q407">
        <v>-0.23047494493426432</v>
      </c>
      <c r="R407">
        <f t="shared" si="8"/>
        <v>0.029999999999999805</v>
      </c>
      <c r="S407">
        <v>-0.0033048012352454846</v>
      </c>
    </row>
    <row r="408" spans="1:19" ht="12.75">
      <c r="A408" s="1">
        <f>DATE(1964,9,1)</f>
        <v>23621</v>
      </c>
      <c r="B408">
        <v>1964</v>
      </c>
      <c r="C408">
        <v>9</v>
      </c>
      <c r="D408">
        <v>3.53</v>
      </c>
      <c r="F408">
        <v>-0.36778089549428844</v>
      </c>
      <c r="I408">
        <v>0.3965087281795496</v>
      </c>
      <c r="J408" s="2">
        <v>50214.990217722116</v>
      </c>
      <c r="K408">
        <f t="shared" si="7"/>
        <v>0.020000000000000018</v>
      </c>
      <c r="L408" s="2">
        <v>-0.03176243955563293</v>
      </c>
      <c r="Q408">
        <v>-0.23213497826000007</v>
      </c>
      <c r="R408">
        <f t="shared" si="8"/>
        <v>0.020000000000000018</v>
      </c>
      <c r="S408">
        <v>-0.004055697441308294</v>
      </c>
    </row>
    <row r="409" spans="1:19" ht="12.75">
      <c r="A409" s="1">
        <f>DATE(1964,10,1)</f>
        <v>23651</v>
      </c>
      <c r="B409">
        <v>1964</v>
      </c>
      <c r="C409">
        <v>10</v>
      </c>
      <c r="D409">
        <v>3.58</v>
      </c>
      <c r="F409">
        <v>-0.36641406721868086</v>
      </c>
      <c r="I409">
        <v>0.3940149625935147</v>
      </c>
      <c r="J409" s="2">
        <v>50277.39982960264</v>
      </c>
      <c r="K409">
        <f t="shared" si="7"/>
        <v>0.050000000000000266</v>
      </c>
      <c r="L409" s="2">
        <v>-0.025435620482069956</v>
      </c>
      <c r="Q409">
        <v>-0.23377017975542688</v>
      </c>
      <c r="R409">
        <f t="shared" si="8"/>
        <v>0.050000000000000266</v>
      </c>
      <c r="S409">
        <v>-0.0009218133895916319</v>
      </c>
    </row>
    <row r="410" spans="1:19" ht="12.75">
      <c r="A410" s="1">
        <f>DATE(1964,11,1)</f>
        <v>23682</v>
      </c>
      <c r="B410">
        <v>1964</v>
      </c>
      <c r="C410">
        <v>11</v>
      </c>
      <c r="D410">
        <v>3.62</v>
      </c>
      <c r="F410">
        <v>-0.3642782415746924</v>
      </c>
      <c r="I410">
        <v>0.3915211970074798</v>
      </c>
      <c r="J410" s="2">
        <v>50339.02194638052</v>
      </c>
      <c r="K410">
        <f t="shared" si="7"/>
        <v>0.040000000000000036</v>
      </c>
      <c r="L410" s="2">
        <v>-0.0015595622366256082</v>
      </c>
      <c r="Q410">
        <v>-0.23539354569373314</v>
      </c>
      <c r="R410">
        <f t="shared" si="8"/>
        <v>0.040000000000000036</v>
      </c>
      <c r="S410">
        <v>-0.0008570884664791535</v>
      </c>
    </row>
    <row r="411" spans="1:19" ht="12.75">
      <c r="A411" s="1">
        <f>DATE(1964,12,1)</f>
        <v>23712</v>
      </c>
      <c r="B411">
        <v>1964</v>
      </c>
      <c r="C411">
        <v>12</v>
      </c>
      <c r="D411">
        <v>3.86</v>
      </c>
      <c r="F411">
        <v>-0.363473448787262</v>
      </c>
      <c r="I411">
        <v>0.3890274314214449</v>
      </c>
      <c r="J411" s="2">
        <v>50399.861568024666</v>
      </c>
      <c r="K411">
        <f t="shared" si="7"/>
        <v>0.23999999999999977</v>
      </c>
      <c r="L411" s="2">
        <v>0.02484048503938408</v>
      </c>
      <c r="Q411">
        <v>-0.23691565507098356</v>
      </c>
      <c r="R411">
        <f t="shared" si="8"/>
        <v>0.23999999999999977</v>
      </c>
      <c r="S411">
        <v>0.0018324893141930267</v>
      </c>
    </row>
    <row r="412" spans="1:19" ht="12.75">
      <c r="A412" s="1">
        <f>DATE(1965,1,1)</f>
        <v>23743</v>
      </c>
      <c r="B412">
        <v>1965</v>
      </c>
      <c r="C412">
        <v>1</v>
      </c>
      <c r="D412">
        <v>3.83</v>
      </c>
      <c r="F412">
        <v>-0.3642099071246617</v>
      </c>
      <c r="I412">
        <v>0.38653366583541005</v>
      </c>
      <c r="J412" s="2">
        <v>50459.92369450398</v>
      </c>
      <c r="K412">
        <f t="shared" si="7"/>
        <v>-0.029999999999999805</v>
      </c>
      <c r="L412" s="2">
        <v>0.012085828165349036</v>
      </c>
      <c r="Q412">
        <v>-0.23871811082571995</v>
      </c>
      <c r="R412">
        <f t="shared" si="8"/>
        <v>-0.029999999999999805</v>
      </c>
      <c r="S412">
        <v>0.012041452746201779</v>
      </c>
    </row>
    <row r="413" spans="1:19" ht="12.75">
      <c r="A413" s="1">
        <f>DATE(1965,2,1)</f>
        <v>23774</v>
      </c>
      <c r="B413">
        <v>1965</v>
      </c>
      <c r="C413">
        <v>2</v>
      </c>
      <c r="D413">
        <v>3.93</v>
      </c>
      <c r="F413">
        <v>-0.3649227491338272</v>
      </c>
      <c r="I413">
        <v>0.3840399002493751</v>
      </c>
      <c r="J413" s="2">
        <v>50519.213325787365</v>
      </c>
      <c r="K413">
        <f t="shared" si="7"/>
        <v>0.10000000000000009</v>
      </c>
      <c r="L413" s="2">
        <v>0.00409651073877226</v>
      </c>
      <c r="Q413">
        <v>-0.23999381110913146</v>
      </c>
      <c r="R413">
        <f t="shared" si="8"/>
        <v>0.10000000000000009</v>
      </c>
      <c r="S413">
        <v>-0.025536161785024162</v>
      </c>
    </row>
    <row r="414" spans="1:19" ht="12.75">
      <c r="A414" s="1">
        <f>DATE(1965,3,1)</f>
        <v>23802</v>
      </c>
      <c r="B414">
        <v>1965</v>
      </c>
      <c r="C414">
        <v>3</v>
      </c>
      <c r="D414">
        <v>3.94</v>
      </c>
      <c r="F414">
        <v>-0.3654682729142327</v>
      </c>
      <c r="I414">
        <v>0.38154613466334025</v>
      </c>
      <c r="J414" s="2">
        <v>50577.73546184373</v>
      </c>
      <c r="K414">
        <f t="shared" si="7"/>
        <v>0.009999999999999787</v>
      </c>
      <c r="L414" s="2">
        <v>0.04792100873391538</v>
      </c>
      <c r="Q414">
        <v>-0.24055885160401577</v>
      </c>
      <c r="R414">
        <f t="shared" si="8"/>
        <v>0.009999999999999787</v>
      </c>
      <c r="S414">
        <v>-0.03407936979698097</v>
      </c>
    </row>
    <row r="415" spans="1:19" ht="12.75">
      <c r="A415" s="1">
        <f>DATE(1965,4,1)</f>
        <v>23833</v>
      </c>
      <c r="B415">
        <v>1965</v>
      </c>
      <c r="C415">
        <v>4</v>
      </c>
      <c r="D415">
        <v>3.93</v>
      </c>
      <c r="F415">
        <v>-0.36611788146633767</v>
      </c>
      <c r="I415">
        <v>0.37905236907730533</v>
      </c>
      <c r="J415" s="2">
        <v>50635.49510264199</v>
      </c>
      <c r="K415">
        <f t="shared" si="7"/>
        <v>-0.009999999999999787</v>
      </c>
      <c r="L415" s="2">
        <v>0.03967138053810478</v>
      </c>
      <c r="Q415">
        <v>-0.24085303498773827</v>
      </c>
      <c r="R415">
        <f t="shared" si="8"/>
        <v>-0.009999999999999787</v>
      </c>
      <c r="S415">
        <v>-0.011668295265985775</v>
      </c>
    </row>
    <row r="416" spans="1:19" ht="12.75">
      <c r="A416" s="1">
        <f>DATE(1965,5,1)</f>
        <v>23863</v>
      </c>
      <c r="B416">
        <v>1965</v>
      </c>
      <c r="C416">
        <v>5</v>
      </c>
      <c r="D416">
        <v>3.9</v>
      </c>
      <c r="F416">
        <v>-0.3667255064827214</v>
      </c>
      <c r="I416">
        <v>0.37655860349127046</v>
      </c>
      <c r="J416" s="2">
        <v>50692.497248151034</v>
      </c>
      <c r="K416">
        <f t="shared" si="7"/>
        <v>-0.03000000000000025</v>
      </c>
      <c r="L416" s="2">
        <v>-0.005576039139119413</v>
      </c>
      <c r="Q416">
        <v>-0.24157395686320493</v>
      </c>
      <c r="R416">
        <f t="shared" si="8"/>
        <v>-0.03000000000000025</v>
      </c>
      <c r="S416">
        <v>0.019223051155311772</v>
      </c>
    </row>
    <row r="417" spans="1:19" ht="12.75">
      <c r="A417" s="1">
        <f>DATE(1965,6,1)</f>
        <v>23894</v>
      </c>
      <c r="B417">
        <v>1965</v>
      </c>
      <c r="C417">
        <v>6</v>
      </c>
      <c r="D417">
        <v>3.81</v>
      </c>
      <c r="F417">
        <v>-0.3670499795683755</v>
      </c>
      <c r="I417">
        <v>0.3740648379052356</v>
      </c>
      <c r="J417" s="2">
        <v>50748.74689833978</v>
      </c>
      <c r="K417">
        <f t="shared" si="7"/>
        <v>-0.08999999999999986</v>
      </c>
      <c r="L417" s="2">
        <v>-0.03953047945638115</v>
      </c>
      <c r="Q417">
        <v>-0.24248836427531456</v>
      </c>
      <c r="R417">
        <f t="shared" si="8"/>
        <v>-0.08999999999999986</v>
      </c>
      <c r="S417">
        <v>0.008581812338791722</v>
      </c>
    </row>
    <row r="418" spans="1:19" ht="12.75">
      <c r="A418" s="1">
        <f>DATE(1965,7,1)</f>
        <v>23924</v>
      </c>
      <c r="B418">
        <v>1965</v>
      </c>
      <c r="C418">
        <v>7</v>
      </c>
      <c r="D418">
        <v>3.83</v>
      </c>
      <c r="F418">
        <v>-0.36710316871065424</v>
      </c>
      <c r="I418">
        <v>0.37157107231920067</v>
      </c>
      <c r="J418" s="2">
        <v>50804.249053177125</v>
      </c>
      <c r="K418">
        <f t="shared" si="7"/>
        <v>0.020000000000000018</v>
      </c>
      <c r="L418" s="2">
        <v>-0.01717979354935571</v>
      </c>
      <c r="Q418">
        <v>-0.24345981474023742</v>
      </c>
      <c r="R418">
        <f t="shared" si="8"/>
        <v>0.020000000000000018</v>
      </c>
      <c r="S418">
        <v>0.0024000358901420274</v>
      </c>
    </row>
    <row r="419" spans="1:19" ht="12.75">
      <c r="A419" s="1">
        <f>DATE(1965,8,1)</f>
        <v>23955</v>
      </c>
      <c r="B419">
        <v>1965</v>
      </c>
      <c r="C419">
        <v>8</v>
      </c>
      <c r="D419">
        <v>3.84</v>
      </c>
      <c r="F419">
        <v>-0.3666554198670005</v>
      </c>
      <c r="I419">
        <v>0.3690773067331658</v>
      </c>
      <c r="J419" s="2">
        <v>50859.00871263198</v>
      </c>
      <c r="K419">
        <f t="shared" si="7"/>
        <v>0.009999999999999787</v>
      </c>
      <c r="L419" s="2">
        <v>-0.021486247424735715</v>
      </c>
      <c r="Q419">
        <v>-0.2450575489219616</v>
      </c>
      <c r="R419">
        <f t="shared" si="8"/>
        <v>0.009999999999999787</v>
      </c>
      <c r="S419">
        <v>0.027450571212968695</v>
      </c>
    </row>
    <row r="420" spans="1:19" ht="12.75">
      <c r="A420" s="1">
        <f>DATE(1965,9,1)</f>
        <v>23986</v>
      </c>
      <c r="B420">
        <v>1965</v>
      </c>
      <c r="C420">
        <v>9</v>
      </c>
      <c r="D420">
        <v>3.91</v>
      </c>
      <c r="F420">
        <v>-0.36709414060208323</v>
      </c>
      <c r="I420">
        <v>0.3665835411471309</v>
      </c>
      <c r="J420" s="2">
        <v>50913.03087667325</v>
      </c>
      <c r="K420">
        <f t="shared" si="7"/>
        <v>0.07000000000000028</v>
      </c>
      <c r="L420" s="2">
        <v>-0.016009133719426957</v>
      </c>
      <c r="Q420">
        <v>-0.24715753958346062</v>
      </c>
      <c r="R420">
        <f t="shared" si="8"/>
        <v>0.07000000000000028</v>
      </c>
      <c r="S420">
        <v>0.028146819508093772</v>
      </c>
    </row>
    <row r="421" spans="1:19" ht="12.75">
      <c r="A421" s="1">
        <f>DATE(1965,10,1)</f>
        <v>24016</v>
      </c>
      <c r="B421">
        <v>1965</v>
      </c>
      <c r="C421">
        <v>10</v>
      </c>
      <c r="D421">
        <v>4.03</v>
      </c>
      <c r="F421">
        <v>-0.3680540378486149</v>
      </c>
      <c r="I421">
        <v>0.364089775561096</v>
      </c>
      <c r="J421" s="2">
        <v>50966.32054526984</v>
      </c>
      <c r="K421">
        <f t="shared" si="7"/>
        <v>0.1200000000000001</v>
      </c>
      <c r="L421" s="2">
        <v>-0.008036554529849659</v>
      </c>
      <c r="Q421">
        <v>-0.24978968287940387</v>
      </c>
      <c r="R421">
        <f t="shared" si="8"/>
        <v>0.1200000000000001</v>
      </c>
      <c r="S421">
        <v>0.02557132485232001</v>
      </c>
    </row>
    <row r="422" spans="1:19" ht="12.75">
      <c r="A422" s="1">
        <f>DATE(1965,11,1)</f>
        <v>24047</v>
      </c>
      <c r="B422">
        <v>1965</v>
      </c>
      <c r="C422">
        <v>11</v>
      </c>
      <c r="D422">
        <v>4.08</v>
      </c>
      <c r="F422">
        <v>-0.3682937923886576</v>
      </c>
      <c r="I422">
        <v>0.3615960099750611</v>
      </c>
      <c r="J422" s="2">
        <v>51018.882718390654</v>
      </c>
      <c r="K422">
        <f t="shared" si="7"/>
        <v>0.04999999999999982</v>
      </c>
      <c r="L422" s="2">
        <v>-0.0064879579599967626</v>
      </c>
      <c r="Q422">
        <v>-0.252302877487584</v>
      </c>
      <c r="R422">
        <f t="shared" si="8"/>
        <v>0.04999999999999982</v>
      </c>
      <c r="S422">
        <v>-0.007430146602889632</v>
      </c>
    </row>
    <row r="423" spans="1:19" ht="12.75">
      <c r="A423" s="1">
        <f>DATE(1965,12,1)</f>
        <v>24077</v>
      </c>
      <c r="B423">
        <v>1965</v>
      </c>
      <c r="C423">
        <v>12</v>
      </c>
      <c r="D423">
        <v>4.36</v>
      </c>
      <c r="F423">
        <v>-0.3686301546797607</v>
      </c>
      <c r="I423">
        <v>0.3591022443890262</v>
      </c>
      <c r="J423" s="2">
        <v>51070.722396004596</v>
      </c>
      <c r="K423">
        <f t="shared" si="7"/>
        <v>0.28000000000000025</v>
      </c>
      <c r="L423" s="2">
        <v>0.032846432516412345</v>
      </c>
      <c r="Q423">
        <v>-0.2548206853730317</v>
      </c>
      <c r="R423">
        <f t="shared" si="8"/>
        <v>0.28000000000000025</v>
      </c>
      <c r="S423">
        <v>0.00844300714922586</v>
      </c>
    </row>
    <row r="424" spans="1:19" ht="12.75">
      <c r="A424" s="1">
        <f>DATE(1966,1,1)</f>
        <v>24108</v>
      </c>
      <c r="B424">
        <v>1966</v>
      </c>
      <c r="C424">
        <v>1</v>
      </c>
      <c r="D424">
        <v>4.6</v>
      </c>
      <c r="F424">
        <v>-0.369255318808566</v>
      </c>
      <c r="I424">
        <v>0.35660847880299135</v>
      </c>
      <c r="J424" s="2">
        <v>51121.84457808058</v>
      </c>
      <c r="K424">
        <f t="shared" si="7"/>
        <v>0.23999999999999932</v>
      </c>
      <c r="L424" s="2">
        <v>0.05061609038229825</v>
      </c>
      <c r="Q424">
        <v>-0.25733872696184296</v>
      </c>
      <c r="R424">
        <f t="shared" si="8"/>
        <v>0.23999999999999932</v>
      </c>
      <c r="S424">
        <v>0.010244978627746235</v>
      </c>
    </row>
    <row r="425" spans="1:19" ht="12.75">
      <c r="A425" s="1">
        <f>DATE(1966,2,1)</f>
        <v>24139</v>
      </c>
      <c r="B425">
        <v>1966</v>
      </c>
      <c r="C425">
        <v>2</v>
      </c>
      <c r="D425">
        <v>4.67</v>
      </c>
      <c r="F425">
        <v>-0.3696789699816357</v>
      </c>
      <c r="I425">
        <v>0.3541147132169564</v>
      </c>
      <c r="J425" s="2">
        <v>51172.2542645875</v>
      </c>
      <c r="K425">
        <f t="shared" si="7"/>
        <v>0.07000000000000028</v>
      </c>
      <c r="L425" s="2">
        <v>0.02378453491176139</v>
      </c>
      <c r="Q425">
        <v>-0.25987578333385924</v>
      </c>
      <c r="R425">
        <f t="shared" si="8"/>
        <v>0.07000000000000028</v>
      </c>
      <c r="S425">
        <v>0.01177492135344914</v>
      </c>
    </row>
    <row r="426" spans="1:19" ht="12.75">
      <c r="A426" s="1">
        <f>DATE(1966,3,1)</f>
        <v>24167</v>
      </c>
      <c r="B426">
        <v>1966</v>
      </c>
      <c r="C426">
        <v>3</v>
      </c>
      <c r="D426">
        <v>4.63</v>
      </c>
      <c r="F426">
        <v>-0.36974407544137305</v>
      </c>
      <c r="I426">
        <v>0.35162094763092155</v>
      </c>
      <c r="J426" s="2">
        <v>51221.95645549427</v>
      </c>
      <c r="K426">
        <f t="shared" si="7"/>
        <v>-0.040000000000000036</v>
      </c>
      <c r="L426" s="2">
        <v>0.005671695824138768</v>
      </c>
      <c r="Q426">
        <v>-0.262108619035467</v>
      </c>
      <c r="R426">
        <f t="shared" si="8"/>
        <v>-0.040000000000000036</v>
      </c>
      <c r="S426">
        <v>-0.01820197869690408</v>
      </c>
    </row>
    <row r="427" spans="1:19" ht="12.75">
      <c r="A427" s="1">
        <f>DATE(1966,4,1)</f>
        <v>24198</v>
      </c>
      <c r="B427">
        <v>1966</v>
      </c>
      <c r="C427">
        <v>4</v>
      </c>
      <c r="D427">
        <v>4.61</v>
      </c>
      <c r="F427">
        <v>-0.3698652114045821</v>
      </c>
      <c r="I427">
        <v>0.34912718204488663</v>
      </c>
      <c r="J427" s="2">
        <v>51270.956150769794</v>
      </c>
      <c r="K427">
        <f t="shared" si="7"/>
        <v>-0.019999999999999574</v>
      </c>
      <c r="L427" s="2">
        <v>0.023371669917393586</v>
      </c>
      <c r="Q427">
        <v>-0.2641098306030446</v>
      </c>
      <c r="R427">
        <f t="shared" si="8"/>
        <v>-0.019999999999999574</v>
      </c>
      <c r="S427">
        <v>-0.016073792444948214</v>
      </c>
    </row>
    <row r="428" spans="1:19" ht="12.75">
      <c r="A428" s="1">
        <f>DATE(1966,5,1)</f>
        <v>24228</v>
      </c>
      <c r="B428">
        <v>1966</v>
      </c>
      <c r="C428">
        <v>5</v>
      </c>
      <c r="D428">
        <v>4.64</v>
      </c>
      <c r="F428">
        <v>-0.3701007411863133</v>
      </c>
      <c r="I428">
        <v>0.34663341645885176</v>
      </c>
      <c r="J428" s="2">
        <v>51319.25835038298</v>
      </c>
      <c r="K428">
        <f t="shared" si="7"/>
        <v>0.02999999999999936</v>
      </c>
      <c r="L428" s="2">
        <v>0.03260090638751777</v>
      </c>
      <c r="Q428">
        <v>-0.2661357443408517</v>
      </c>
      <c r="R428">
        <f t="shared" si="8"/>
        <v>0.02999999999999936</v>
      </c>
      <c r="S428">
        <v>0.0033096344619539557</v>
      </c>
    </row>
    <row r="429" spans="1:19" ht="12.75">
      <c r="A429" s="1">
        <f>DATE(1966,6,1)</f>
        <v>24259</v>
      </c>
      <c r="B429">
        <v>1966</v>
      </c>
      <c r="C429">
        <v>6</v>
      </c>
      <c r="D429">
        <v>4.54</v>
      </c>
      <c r="F429">
        <v>-0.3703850719953096</v>
      </c>
      <c r="I429">
        <v>0.3441396508728169</v>
      </c>
      <c r="J429" s="2">
        <v>51366.86805430273</v>
      </c>
      <c r="K429">
        <f t="shared" si="7"/>
        <v>-0.09999999999999964</v>
      </c>
      <c r="L429" s="2">
        <v>0.04722937860786355</v>
      </c>
      <c r="Q429">
        <v>-0.26833021057471806</v>
      </c>
      <c r="R429">
        <f t="shared" si="8"/>
        <v>-0.09999999999999964</v>
      </c>
      <c r="S429">
        <v>0.004820107471647513</v>
      </c>
    </row>
    <row r="430" spans="1:19" ht="12.75">
      <c r="A430" s="1">
        <f>DATE(1966,7,1)</f>
        <v>24289</v>
      </c>
      <c r="B430">
        <v>1966</v>
      </c>
      <c r="C430">
        <v>7</v>
      </c>
      <c r="D430">
        <v>4.86</v>
      </c>
      <c r="F430">
        <v>-0.3702947967618397</v>
      </c>
      <c r="I430">
        <v>0.34164588528678197</v>
      </c>
      <c r="J430" s="2">
        <v>51413.790262497954</v>
      </c>
      <c r="K430">
        <f aca="true" t="shared" si="9" ref="K430:K493">D430-D429</f>
        <v>0.3200000000000003</v>
      </c>
      <c r="L430" s="2">
        <v>0.006688940212076709</v>
      </c>
      <c r="Q430">
        <v>-0.27057345866495197</v>
      </c>
      <c r="R430">
        <f t="shared" si="8"/>
        <v>0.3200000000000003</v>
      </c>
      <c r="S430">
        <v>0.004716912511526326</v>
      </c>
    </row>
    <row r="431" spans="1:19" ht="12.75">
      <c r="A431" s="1">
        <f>DATE(1966,8,1)</f>
        <v>24320</v>
      </c>
      <c r="B431">
        <v>1966</v>
      </c>
      <c r="C431">
        <v>8</v>
      </c>
      <c r="D431">
        <v>4.93</v>
      </c>
      <c r="F431">
        <v>-0.37037037040410636</v>
      </c>
      <c r="I431">
        <v>0.3391521197007471</v>
      </c>
      <c r="J431" s="2">
        <v>51460.029974937555</v>
      </c>
      <c r="K431">
        <f t="shared" si="9"/>
        <v>0.0699999999999994</v>
      </c>
      <c r="L431" s="2">
        <v>-0.008247147063613274</v>
      </c>
      <c r="Q431">
        <v>-0.2727775865198771</v>
      </c>
      <c r="R431">
        <f t="shared" si="8"/>
        <v>0.0699999999999994</v>
      </c>
      <c r="S431">
        <v>-0.0061601263129702774</v>
      </c>
    </row>
    <row r="432" spans="1:19" ht="12.75">
      <c r="A432" s="1">
        <f>DATE(1966,9,1)</f>
        <v>24351</v>
      </c>
      <c r="B432">
        <v>1966</v>
      </c>
      <c r="C432">
        <v>9</v>
      </c>
      <c r="D432">
        <v>5.36</v>
      </c>
      <c r="F432">
        <v>-0.3703711538006726</v>
      </c>
      <c r="I432">
        <v>0.3366583541147122</v>
      </c>
      <c r="J432" s="2">
        <v>51505.59219159044</v>
      </c>
      <c r="K432">
        <f t="shared" si="9"/>
        <v>0.4300000000000006</v>
      </c>
      <c r="L432" s="2">
        <v>-0.006210696991820432</v>
      </c>
      <c r="Q432">
        <v>-0.2747724289425885</v>
      </c>
      <c r="R432">
        <f t="shared" si="8"/>
        <v>0.4300000000000006</v>
      </c>
      <c r="S432">
        <v>-0.0005923706634475055</v>
      </c>
    </row>
    <row r="433" spans="1:19" ht="12.75">
      <c r="A433" s="1">
        <f>DATE(1966,10,1)</f>
        <v>24381</v>
      </c>
      <c r="B433">
        <v>1966</v>
      </c>
      <c r="C433">
        <v>10</v>
      </c>
      <c r="D433">
        <v>5.39</v>
      </c>
      <c r="F433">
        <v>-0.3697775812470732</v>
      </c>
      <c r="I433">
        <v>0.3341645885286773</v>
      </c>
      <c r="J433" s="2">
        <v>51550.48191242551</v>
      </c>
      <c r="K433">
        <f t="shared" si="9"/>
        <v>0.02999999999999936</v>
      </c>
      <c r="L433" s="2">
        <v>-0.04406425758255216</v>
      </c>
      <c r="Q433">
        <v>-0.27688220781280637</v>
      </c>
      <c r="R433">
        <f t="shared" si="8"/>
        <v>0.02999999999999936</v>
      </c>
      <c r="S433">
        <v>0.00976741581384162</v>
      </c>
    </row>
    <row r="434" spans="1:19" ht="12.75">
      <c r="A434" s="1">
        <f>DATE(1966,11,1)</f>
        <v>24412</v>
      </c>
      <c r="B434">
        <v>1966</v>
      </c>
      <c r="C434">
        <v>11</v>
      </c>
      <c r="D434">
        <v>5.34</v>
      </c>
      <c r="F434">
        <v>-0.3693419962653104</v>
      </c>
      <c r="I434">
        <v>0.3316708229426424</v>
      </c>
      <c r="J434" s="2">
        <v>51594.704137411674</v>
      </c>
      <c r="K434">
        <f t="shared" si="9"/>
        <v>-0.04999999999999982</v>
      </c>
      <c r="L434" s="2">
        <v>-0.01669358371219277</v>
      </c>
      <c r="Q434">
        <v>-0.2792097973801244</v>
      </c>
      <c r="R434">
        <f t="shared" si="8"/>
        <v>-0.04999999999999982</v>
      </c>
      <c r="S434">
        <v>-0.0008734235870298737</v>
      </c>
    </row>
    <row r="435" spans="1:19" ht="12.75">
      <c r="A435" s="1">
        <f>DATE(1966,12,1)</f>
        <v>24442</v>
      </c>
      <c r="B435">
        <v>1966</v>
      </c>
      <c r="C435">
        <v>12</v>
      </c>
      <c r="D435">
        <v>5.01</v>
      </c>
      <c r="F435">
        <v>-0.3696405502701176</v>
      </c>
      <c r="I435">
        <v>0.3291770573566075</v>
      </c>
      <c r="J435" s="2">
        <v>51638.26386651784</v>
      </c>
      <c r="K435">
        <f t="shared" si="9"/>
        <v>-0.33000000000000007</v>
      </c>
      <c r="L435" s="2">
        <v>0.005957707573968478</v>
      </c>
      <c r="Q435">
        <v>-0.28176530644224546</v>
      </c>
      <c r="R435">
        <f t="shared" si="8"/>
        <v>-0.33000000000000007</v>
      </c>
      <c r="S435">
        <v>-0.0028740410453780116</v>
      </c>
    </row>
    <row r="436" spans="1:19" ht="12.75">
      <c r="A436" s="1">
        <f>DATE(1967,1,1)</f>
        <v>24473</v>
      </c>
      <c r="B436">
        <v>1967</v>
      </c>
      <c r="C436">
        <v>1</v>
      </c>
      <c r="D436">
        <v>4.76</v>
      </c>
      <c r="F436">
        <v>-0.3708271327941936</v>
      </c>
      <c r="I436">
        <v>0.32668329177057265</v>
      </c>
      <c r="J436" s="2">
        <v>51681.16609971291</v>
      </c>
      <c r="K436">
        <f t="shared" si="9"/>
        <v>-0.25</v>
      </c>
      <c r="L436" s="2">
        <v>0.0024249201077502303</v>
      </c>
      <c r="Q436">
        <v>-0.28427399750241267</v>
      </c>
      <c r="R436">
        <f t="shared" si="8"/>
        <v>-0.25</v>
      </c>
      <c r="S436">
        <v>-0.0019861605148665954</v>
      </c>
    </row>
    <row r="437" spans="1:19" ht="12.75">
      <c r="A437" s="1">
        <f>DATE(1967,2,1)</f>
        <v>24504</v>
      </c>
      <c r="B437">
        <v>1967</v>
      </c>
      <c r="C437">
        <v>2</v>
      </c>
      <c r="D437">
        <v>4.56</v>
      </c>
      <c r="F437">
        <v>-0.3721586455106928</v>
      </c>
      <c r="I437">
        <v>0.3241895261845377</v>
      </c>
      <c r="J437" s="2">
        <v>51723.41583696578</v>
      </c>
      <c r="K437">
        <f t="shared" si="9"/>
        <v>-0.20000000000000018</v>
      </c>
      <c r="L437" s="2">
        <v>0.024679243217774968</v>
      </c>
      <c r="Q437">
        <v>-0.2868585539933369</v>
      </c>
      <c r="R437">
        <f t="shared" si="8"/>
        <v>-0.20000000000000018</v>
      </c>
      <c r="S437">
        <v>-0.006595345145423515</v>
      </c>
    </row>
    <row r="438" spans="1:19" ht="12.75">
      <c r="A438" s="1">
        <f>DATE(1967,3,1)</f>
        <v>24532</v>
      </c>
      <c r="B438">
        <v>1967</v>
      </c>
      <c r="C438">
        <v>3</v>
      </c>
      <c r="D438">
        <v>4.29</v>
      </c>
      <c r="F438">
        <v>-0.37383869843032674</v>
      </c>
      <c r="I438">
        <v>0.32169576059850286</v>
      </c>
      <c r="J438" s="2">
        <v>51765.018078245375</v>
      </c>
      <c r="K438">
        <f t="shared" si="9"/>
        <v>-0.2699999999999996</v>
      </c>
      <c r="L438" s="2">
        <v>0.053050847956866994</v>
      </c>
      <c r="Q438">
        <v>-0.28952826521473535</v>
      </c>
      <c r="R438">
        <f t="shared" si="8"/>
        <v>-0.2699999999999996</v>
      </c>
      <c r="S438">
        <v>-0.007373746612136946</v>
      </c>
    </row>
    <row r="439" spans="1:19" ht="12.75">
      <c r="A439" s="1">
        <f>DATE(1967,4,1)</f>
        <v>24563</v>
      </c>
      <c r="B439">
        <v>1967</v>
      </c>
      <c r="C439">
        <v>4</v>
      </c>
      <c r="D439">
        <v>3.86</v>
      </c>
      <c r="F439">
        <v>-0.37624020191620033</v>
      </c>
      <c r="I439">
        <v>0.31920199501246793</v>
      </c>
      <c r="J439" s="2">
        <v>51805.97782352059</v>
      </c>
      <c r="K439">
        <f t="shared" si="9"/>
        <v>-0.43000000000000016</v>
      </c>
      <c r="L439" s="2">
        <v>0.05757099794879247</v>
      </c>
      <c r="Q439">
        <v>-0.2920048336737353</v>
      </c>
      <c r="R439">
        <f t="shared" si="8"/>
        <v>-0.43000000000000016</v>
      </c>
      <c r="S439">
        <v>-0.022646471701219053</v>
      </c>
    </row>
    <row r="440" spans="1:19" ht="12.75">
      <c r="A440" s="1">
        <f>DATE(1967,5,1)</f>
        <v>24593</v>
      </c>
      <c r="B440">
        <v>1967</v>
      </c>
      <c r="C440">
        <v>5</v>
      </c>
      <c r="D440">
        <v>3.64</v>
      </c>
      <c r="F440">
        <v>-0.3790211756926354</v>
      </c>
      <c r="I440">
        <v>0.31670822942643306</v>
      </c>
      <c r="J440" s="2">
        <v>51846.30007276033</v>
      </c>
      <c r="K440">
        <f t="shared" si="9"/>
        <v>-0.21999999999999975</v>
      </c>
      <c r="L440" s="2">
        <v>0.05793695679214717</v>
      </c>
      <c r="Q440">
        <v>-0.2941977084942315</v>
      </c>
      <c r="R440">
        <f t="shared" si="8"/>
        <v>-0.21999999999999975</v>
      </c>
      <c r="S440">
        <v>-0.020053415946359312</v>
      </c>
    </row>
    <row r="441" spans="1:19" ht="12.75">
      <c r="A441" s="1">
        <f>DATE(1967,6,1)</f>
        <v>24624</v>
      </c>
      <c r="B441">
        <v>1967</v>
      </c>
      <c r="C441">
        <v>6</v>
      </c>
      <c r="D441">
        <v>3.48</v>
      </c>
      <c r="F441">
        <v>-0.38165475620954586</v>
      </c>
      <c r="I441">
        <v>0.31421446384039814</v>
      </c>
      <c r="J441" s="2">
        <v>51885.9898259335</v>
      </c>
      <c r="K441">
        <f t="shared" si="9"/>
        <v>-0.16000000000000014</v>
      </c>
      <c r="L441" s="2">
        <v>0.00937535577062989</v>
      </c>
      <c r="Q441">
        <v>-0.29661085244592433</v>
      </c>
      <c r="R441">
        <f t="shared" si="8"/>
        <v>-0.16000000000000014</v>
      </c>
      <c r="S441">
        <v>0.014029603422997819</v>
      </c>
    </row>
    <row r="442" spans="1:19" ht="12.75">
      <c r="A442" s="1">
        <f>DATE(1967,7,1)</f>
        <v>24654</v>
      </c>
      <c r="B442">
        <v>1967</v>
      </c>
      <c r="C442">
        <v>7</v>
      </c>
      <c r="D442">
        <v>4.31</v>
      </c>
      <c r="F442">
        <v>-0.38269487140815256</v>
      </c>
      <c r="I442">
        <v>0.31172069825436327</v>
      </c>
      <c r="J442" s="2">
        <v>51925.05208300902</v>
      </c>
      <c r="K442">
        <f t="shared" si="9"/>
        <v>0.8299999999999996</v>
      </c>
      <c r="L442" s="2">
        <v>-0.00331517509421981</v>
      </c>
      <c r="Q442">
        <v>-0.29841874201335195</v>
      </c>
      <c r="R442">
        <f t="shared" si="8"/>
        <v>0.8299999999999996</v>
      </c>
      <c r="S442">
        <v>-0.010491177217527355</v>
      </c>
    </row>
    <row r="443" spans="1:19" ht="12.75">
      <c r="A443" s="1">
        <f>DATE(1967,8,1)</f>
        <v>24685</v>
      </c>
      <c r="B443">
        <v>1967</v>
      </c>
      <c r="C443">
        <v>8</v>
      </c>
      <c r="D443">
        <v>4.27</v>
      </c>
      <c r="F443">
        <v>-0.38380420061942655</v>
      </c>
      <c r="I443">
        <v>0.3092269326683284</v>
      </c>
      <c r="J443" s="2">
        <v>51963.49184395578</v>
      </c>
      <c r="K443">
        <f t="shared" si="9"/>
        <v>-0.040000000000000036</v>
      </c>
      <c r="L443" s="2">
        <v>-0.00812939494916128</v>
      </c>
      <c r="Q443">
        <v>-0.3001556705290307</v>
      </c>
      <c r="R443">
        <f t="shared" si="8"/>
        <v>-0.040000000000000036</v>
      </c>
      <c r="S443">
        <v>-0.001802900051259251</v>
      </c>
    </row>
    <row r="444" spans="1:19" ht="12.75">
      <c r="A444" s="1">
        <f>DATE(1967,9,1)</f>
        <v>24716</v>
      </c>
      <c r="B444">
        <v>1967</v>
      </c>
      <c r="C444">
        <v>9</v>
      </c>
      <c r="D444">
        <v>4.45</v>
      </c>
      <c r="F444">
        <v>-0.3849696900003031</v>
      </c>
      <c r="I444">
        <v>0.3067331670822935</v>
      </c>
      <c r="J444" s="2">
        <v>52001.31410874269</v>
      </c>
      <c r="K444">
        <f t="shared" si="9"/>
        <v>0.1800000000000006</v>
      </c>
      <c r="L444" s="2">
        <v>-0.030677577842483497</v>
      </c>
      <c r="Q444">
        <v>-0.30203762708466436</v>
      </c>
      <c r="R444">
        <f t="shared" si="8"/>
        <v>0.1800000000000006</v>
      </c>
      <c r="S444">
        <v>0.008536316006742322</v>
      </c>
    </row>
    <row r="445" spans="1:19" ht="12.75">
      <c r="A445" s="1">
        <f>DATE(1967,10,1)</f>
        <v>24746</v>
      </c>
      <c r="B445">
        <v>1967</v>
      </c>
      <c r="C445">
        <v>10</v>
      </c>
      <c r="D445">
        <v>4.59</v>
      </c>
      <c r="F445">
        <v>-0.3855185426639317</v>
      </c>
      <c r="I445">
        <v>0.3042394014962586</v>
      </c>
      <c r="J445" s="2">
        <v>52038.52387733866</v>
      </c>
      <c r="K445">
        <f t="shared" si="9"/>
        <v>0.13999999999999968</v>
      </c>
      <c r="L445" s="2">
        <v>-0.037020177145533247</v>
      </c>
      <c r="Q445">
        <v>-0.303984976830107</v>
      </c>
      <c r="R445">
        <f t="shared" si="8"/>
        <v>0.13999999999999968</v>
      </c>
      <c r="S445">
        <v>0.014000672288514614</v>
      </c>
    </row>
    <row r="446" spans="1:19" ht="12.75">
      <c r="A446" s="1">
        <f>DATE(1967,11,1)</f>
        <v>24777</v>
      </c>
      <c r="B446">
        <v>1967</v>
      </c>
      <c r="C446">
        <v>11</v>
      </c>
      <c r="D446">
        <v>4.76</v>
      </c>
      <c r="F446">
        <v>-0.38565539887737577</v>
      </c>
      <c r="I446">
        <v>0.3017456359102237</v>
      </c>
      <c r="J446" s="2">
        <v>52075.12614971259</v>
      </c>
      <c r="K446">
        <f t="shared" si="9"/>
        <v>0.16999999999999993</v>
      </c>
      <c r="L446" s="2">
        <v>-0.03310643381026023</v>
      </c>
      <c r="Q446">
        <v>-0.30622054884018796</v>
      </c>
      <c r="R446">
        <f t="shared" si="8"/>
        <v>0.16999999999999993</v>
      </c>
      <c r="S446">
        <v>0.00821658855920647</v>
      </c>
    </row>
    <row r="447" spans="1:19" ht="12.75">
      <c r="A447" s="1">
        <f>DATE(1967,12,1)</f>
        <v>24807</v>
      </c>
      <c r="B447">
        <v>1967</v>
      </c>
      <c r="C447">
        <v>12</v>
      </c>
      <c r="D447">
        <v>5.01</v>
      </c>
      <c r="F447">
        <v>-0.3854638431969899</v>
      </c>
      <c r="I447">
        <v>0.2992518703241888</v>
      </c>
      <c r="J447" s="2">
        <v>52111.12592583338</v>
      </c>
      <c r="K447">
        <f t="shared" si="9"/>
        <v>0.25</v>
      </c>
      <c r="L447" s="2">
        <v>-0.027291191848326766</v>
      </c>
      <c r="Q447">
        <v>-0.3083866581415307</v>
      </c>
      <c r="R447">
        <f aca="true" t="shared" si="10" ref="R447:R510">D447-D446</f>
        <v>0.25</v>
      </c>
      <c r="S447">
        <v>0.0025655862222452018</v>
      </c>
    </row>
    <row r="448" spans="1:19" ht="12.75">
      <c r="A448" s="1">
        <f>DATE(1968,1,1)</f>
        <v>24838</v>
      </c>
      <c r="B448">
        <v>1968</v>
      </c>
      <c r="C448">
        <v>1</v>
      </c>
      <c r="D448">
        <v>5.08</v>
      </c>
      <c r="F448">
        <v>-0.385013845235351</v>
      </c>
      <c r="I448">
        <v>0.29675810473815395</v>
      </c>
      <c r="J448" s="2">
        <v>52146.52820566995</v>
      </c>
      <c r="K448">
        <f t="shared" si="9"/>
        <v>0.07000000000000028</v>
      </c>
      <c r="L448" s="2">
        <v>-0.018476533954206596</v>
      </c>
      <c r="Q448">
        <v>-0.31032823844241525</v>
      </c>
      <c r="R448">
        <f t="shared" si="10"/>
        <v>0.07000000000000028</v>
      </c>
      <c r="S448">
        <v>-0.003755122185243392</v>
      </c>
    </row>
    <row r="449" spans="1:19" ht="12.75">
      <c r="A449" s="1">
        <f>DATE(1968,2,1)</f>
        <v>24869</v>
      </c>
      <c r="B449">
        <v>1968</v>
      </c>
      <c r="C449">
        <v>2</v>
      </c>
      <c r="D449">
        <v>4.97</v>
      </c>
      <c r="F449">
        <v>-0.3843672863854059</v>
      </c>
      <c r="I449">
        <v>0.294264339152119</v>
      </c>
      <c r="J449" s="2">
        <v>52181.3379891912</v>
      </c>
      <c r="K449">
        <f t="shared" si="9"/>
        <v>-0.11000000000000032</v>
      </c>
      <c r="L449" s="2">
        <v>-0.018811294362434235</v>
      </c>
      <c r="Q449">
        <v>-0.31193009207985534</v>
      </c>
      <c r="R449">
        <f t="shared" si="10"/>
        <v>-0.11000000000000032</v>
      </c>
      <c r="S449">
        <v>-0.013928538492676517</v>
      </c>
    </row>
    <row r="450" spans="1:19" ht="12.75">
      <c r="A450" s="1">
        <f>DATE(1968,3,1)</f>
        <v>24898</v>
      </c>
      <c r="B450">
        <v>1968</v>
      </c>
      <c r="C450">
        <v>3</v>
      </c>
      <c r="D450">
        <v>5.15</v>
      </c>
      <c r="F450">
        <v>-0.38336036590690015</v>
      </c>
      <c r="I450">
        <v>0.29177057356608416</v>
      </c>
      <c r="J450" s="2">
        <v>52215.56027636603</v>
      </c>
      <c r="K450">
        <f t="shared" si="9"/>
        <v>0.1800000000000006</v>
      </c>
      <c r="L450" s="2">
        <v>-0.0240043704420654</v>
      </c>
      <c r="Q450">
        <v>-0.31280076109144883</v>
      </c>
      <c r="R450">
        <f t="shared" si="10"/>
        <v>0.1800000000000006</v>
      </c>
      <c r="S450">
        <v>-0.024385564553183844</v>
      </c>
    </row>
    <row r="451" spans="1:19" ht="12.75">
      <c r="A451" s="1">
        <f>DATE(1968,4,1)</f>
        <v>24929</v>
      </c>
      <c r="B451">
        <v>1968</v>
      </c>
      <c r="C451">
        <v>4</v>
      </c>
      <c r="D451">
        <v>5.37</v>
      </c>
      <c r="F451">
        <v>-0.3817490179561829</v>
      </c>
      <c r="I451">
        <v>0.28927680798004923</v>
      </c>
      <c r="J451" s="2">
        <v>52249.20006716335</v>
      </c>
      <c r="K451">
        <f t="shared" si="9"/>
        <v>0.21999999999999975</v>
      </c>
      <c r="L451" s="2">
        <v>-0.02782284102803531</v>
      </c>
      <c r="Q451">
        <v>-0.3133800049212342</v>
      </c>
      <c r="R451">
        <f t="shared" si="10"/>
        <v>0.21999999999999975</v>
      </c>
      <c r="S451">
        <v>-0.007431594109669519</v>
      </c>
    </row>
    <row r="452" spans="1:19" ht="12.75">
      <c r="A452" s="1">
        <f>DATE(1968,5,1)</f>
        <v>24959</v>
      </c>
      <c r="B452">
        <v>1968</v>
      </c>
      <c r="C452">
        <v>5</v>
      </c>
      <c r="D452">
        <v>5.62</v>
      </c>
      <c r="F452">
        <v>-0.37929129201571704</v>
      </c>
      <c r="I452">
        <v>0.28678304239401436</v>
      </c>
      <c r="J452" s="2">
        <v>52282.262361552064</v>
      </c>
      <c r="K452">
        <f t="shared" si="9"/>
        <v>0.25</v>
      </c>
      <c r="L452" s="2">
        <v>0.005778637811689237</v>
      </c>
      <c r="Q452">
        <v>-0.31356748520261624</v>
      </c>
      <c r="R452">
        <f t="shared" si="10"/>
        <v>0.25</v>
      </c>
      <c r="S452">
        <v>-0.009966446939735016</v>
      </c>
    </row>
    <row r="453" spans="1:19" ht="12.75">
      <c r="A453" s="1">
        <f>DATE(1968,6,1)</f>
        <v>24990</v>
      </c>
      <c r="B453">
        <v>1968</v>
      </c>
      <c r="C453">
        <v>6</v>
      </c>
      <c r="D453">
        <v>5.55</v>
      </c>
      <c r="F453">
        <v>-0.37636187251703923</v>
      </c>
      <c r="I453">
        <v>0.28428927680797944</v>
      </c>
      <c r="J453" s="2">
        <v>52314.752159501084</v>
      </c>
      <c r="K453">
        <f t="shared" si="9"/>
        <v>-0.07000000000000028</v>
      </c>
      <c r="L453" s="2">
        <v>0.005123675216229005</v>
      </c>
      <c r="Q453">
        <v>-0.31368938024804177</v>
      </c>
      <c r="R453">
        <f t="shared" si="10"/>
        <v>-0.07000000000000028</v>
      </c>
      <c r="S453">
        <v>-0.0014400173067122379</v>
      </c>
    </row>
    <row r="454" spans="1:19" ht="12.75">
      <c r="A454" s="1">
        <f>DATE(1968,7,1)</f>
        <v>25020</v>
      </c>
      <c r="B454">
        <v>1968</v>
      </c>
      <c r="C454">
        <v>7</v>
      </c>
      <c r="D454">
        <v>5.38</v>
      </c>
      <c r="F454">
        <v>-0.3733796052290196</v>
      </c>
      <c r="I454">
        <v>0.2817955112219446</v>
      </c>
      <c r="J454" s="2">
        <v>52346.67446097931</v>
      </c>
      <c r="K454">
        <f t="shared" si="9"/>
        <v>-0.16999999999999993</v>
      </c>
      <c r="L454" s="2">
        <v>-0.0031809795672378353</v>
      </c>
      <c r="Q454">
        <v>-0.313992355518792</v>
      </c>
      <c r="R454">
        <f t="shared" si="10"/>
        <v>-0.16999999999999993</v>
      </c>
      <c r="S454">
        <v>0.005814896738405847</v>
      </c>
    </row>
    <row r="455" spans="1:19" ht="12.75">
      <c r="A455" s="1">
        <f>DATE(1968,8,1)</f>
        <v>25051</v>
      </c>
      <c r="B455">
        <v>1968</v>
      </c>
      <c r="C455">
        <v>8</v>
      </c>
      <c r="D455">
        <v>5.09</v>
      </c>
      <c r="F455">
        <v>-0.3709362834275571</v>
      </c>
      <c r="I455">
        <v>0.2793017456359097</v>
      </c>
      <c r="J455" s="2">
        <v>52378.03426595565</v>
      </c>
      <c r="K455">
        <f t="shared" si="9"/>
        <v>-0.29000000000000004</v>
      </c>
      <c r="L455" s="2">
        <v>-0.003983573210190097</v>
      </c>
      <c r="Q455">
        <v>-0.31421911426506965</v>
      </c>
      <c r="R455">
        <f t="shared" si="10"/>
        <v>-0.29000000000000004</v>
      </c>
      <c r="S455">
        <v>-0.01134745556971633</v>
      </c>
    </row>
    <row r="456" spans="1:19" ht="12.75">
      <c r="A456" s="1">
        <f>DATE(1968,9,1)</f>
        <v>25082</v>
      </c>
      <c r="B456">
        <v>1968</v>
      </c>
      <c r="C456">
        <v>9</v>
      </c>
      <c r="D456">
        <v>5.2</v>
      </c>
      <c r="F456">
        <v>-0.36841916450508067</v>
      </c>
      <c r="I456">
        <v>0.2768079800498748</v>
      </c>
      <c r="J456" s="2">
        <v>52408.83657439901</v>
      </c>
      <c r="K456">
        <f t="shared" si="9"/>
        <v>0.11000000000000032</v>
      </c>
      <c r="L456" s="2">
        <v>-0.0011540062070161394</v>
      </c>
      <c r="Q456">
        <v>-0.3141850830406723</v>
      </c>
      <c r="R456">
        <f t="shared" si="10"/>
        <v>0.11000000000000032</v>
      </c>
      <c r="S456">
        <v>-0.0074219091670841295</v>
      </c>
    </row>
    <row r="457" spans="1:19" ht="12.75">
      <c r="A457" s="1">
        <f>DATE(1968,10,1)</f>
        <v>25112</v>
      </c>
      <c r="B457">
        <v>1968</v>
      </c>
      <c r="C457">
        <v>10</v>
      </c>
      <c r="D457">
        <v>5.34</v>
      </c>
      <c r="F457">
        <v>-0.3656494335621238</v>
      </c>
      <c r="I457">
        <v>0.2743142144638399</v>
      </c>
      <c r="J457" s="2">
        <v>52439.086386278286</v>
      </c>
      <c r="K457">
        <f t="shared" si="9"/>
        <v>0.13999999999999968</v>
      </c>
      <c r="L457" s="2">
        <v>-0.000935642114657508</v>
      </c>
      <c r="Q457">
        <v>-0.314358984506224</v>
      </c>
      <c r="R457">
        <f t="shared" si="10"/>
        <v>0.13999999999999968</v>
      </c>
      <c r="S457">
        <v>0.015695358926691664</v>
      </c>
    </row>
    <row r="458" spans="1:19" ht="12.75">
      <c r="A458" s="1">
        <f>DATE(1968,11,1)</f>
        <v>25143</v>
      </c>
      <c r="B458">
        <v>1968</v>
      </c>
      <c r="C458">
        <v>11</v>
      </c>
      <c r="D458">
        <v>5.49</v>
      </c>
      <c r="F458">
        <v>-0.362383482712236</v>
      </c>
      <c r="I458">
        <v>0.271820448877805</v>
      </c>
      <c r="J458" s="2">
        <v>52468.78870156239</v>
      </c>
      <c r="K458">
        <f t="shared" si="9"/>
        <v>0.15000000000000036</v>
      </c>
      <c r="L458" s="2">
        <v>0.0018121906792514465</v>
      </c>
      <c r="Q458">
        <v>-0.3143959928199191</v>
      </c>
      <c r="R458">
        <f t="shared" si="10"/>
        <v>0.15000000000000036</v>
      </c>
      <c r="S458">
        <v>-0.0015965005684494657</v>
      </c>
    </row>
    <row r="459" spans="1:19" ht="12.75">
      <c r="A459" s="1">
        <f>DATE(1968,12,1)</f>
        <v>25173</v>
      </c>
      <c r="B459">
        <v>1968</v>
      </c>
      <c r="C459">
        <v>12</v>
      </c>
      <c r="D459">
        <v>5.92</v>
      </c>
      <c r="F459">
        <v>-0.3587591087424487</v>
      </c>
      <c r="I459">
        <v>0.2693266832917701</v>
      </c>
      <c r="J459" s="2">
        <v>52497.948520220234</v>
      </c>
      <c r="K459">
        <f t="shared" si="9"/>
        <v>0.4299999999999997</v>
      </c>
      <c r="L459" s="2">
        <v>0.012097207522860188</v>
      </c>
      <c r="Q459">
        <v>-0.3140221490240446</v>
      </c>
      <c r="R459">
        <f t="shared" si="10"/>
        <v>0.4299999999999997</v>
      </c>
      <c r="S459">
        <v>-0.0013324641563890872</v>
      </c>
    </row>
    <row r="460" spans="1:19" ht="12.75">
      <c r="A460" s="1">
        <f>DATE(1969,1,1)</f>
        <v>25204</v>
      </c>
      <c r="B460">
        <v>1969</v>
      </c>
      <c r="C460">
        <v>1</v>
      </c>
      <c r="D460">
        <v>6.18</v>
      </c>
      <c r="F460">
        <v>-0.35518757195295664</v>
      </c>
      <c r="I460">
        <v>0.26683291770573525</v>
      </c>
      <c r="J460" s="2">
        <v>52526.57084222072</v>
      </c>
      <c r="K460">
        <f t="shared" si="9"/>
        <v>0.2599999999999998</v>
      </c>
      <c r="L460" s="2">
        <v>-0.0254692950808515</v>
      </c>
      <c r="Q460">
        <v>-0.3133468189509598</v>
      </c>
      <c r="R460">
        <f t="shared" si="10"/>
        <v>0.2599999999999998</v>
      </c>
      <c r="S460">
        <v>-0.007446208517529892</v>
      </c>
    </row>
    <row r="461" spans="1:19" ht="12.75">
      <c r="A461" s="1">
        <f>DATE(1969,2,1)</f>
        <v>25235</v>
      </c>
      <c r="B461">
        <v>1969</v>
      </c>
      <c r="C461">
        <v>2</v>
      </c>
      <c r="D461">
        <v>6.16</v>
      </c>
      <c r="F461">
        <v>-0.35094348935739456</v>
      </c>
      <c r="I461">
        <v>0.2643391521197003</v>
      </c>
      <c r="J461" s="2">
        <v>52554.66066753275</v>
      </c>
      <c r="K461">
        <f t="shared" si="9"/>
        <v>-0.019999999999999574</v>
      </c>
      <c r="L461" s="2">
        <v>-0.0343856426106443</v>
      </c>
      <c r="Q461">
        <v>-0.31253847754806785</v>
      </c>
      <c r="R461">
        <f t="shared" si="10"/>
        <v>-0.019999999999999574</v>
      </c>
      <c r="S461">
        <v>-0.005816673707430692</v>
      </c>
    </row>
    <row r="462" spans="1:19" ht="12.75">
      <c r="A462" s="1">
        <f>DATE(1969,3,1)</f>
        <v>25263</v>
      </c>
      <c r="B462">
        <v>1969</v>
      </c>
      <c r="C462">
        <v>3</v>
      </c>
      <c r="D462">
        <v>6.08</v>
      </c>
      <c r="F462">
        <v>-0.34670567611927666</v>
      </c>
      <c r="I462">
        <v>0.26184538653366546</v>
      </c>
      <c r="J462" s="2">
        <v>52582.22299612523</v>
      </c>
      <c r="K462">
        <f t="shared" si="9"/>
        <v>-0.08000000000000007</v>
      </c>
      <c r="L462" s="2">
        <v>-0.012017150522652474</v>
      </c>
      <c r="Q462">
        <v>-0.31181340267456975</v>
      </c>
      <c r="R462">
        <f t="shared" si="10"/>
        <v>-0.08000000000000007</v>
      </c>
      <c r="S462">
        <v>0.003606438922687549</v>
      </c>
    </row>
    <row r="463" spans="1:19" ht="12.75">
      <c r="A463" s="1">
        <f>DATE(1969,4,1)</f>
        <v>25294</v>
      </c>
      <c r="B463">
        <v>1969</v>
      </c>
      <c r="C463">
        <v>4</v>
      </c>
      <c r="D463">
        <v>6.16</v>
      </c>
      <c r="F463">
        <v>-0.3432193128856379</v>
      </c>
      <c r="I463">
        <v>0.25935162094763053</v>
      </c>
      <c r="J463" s="2">
        <v>52609.262827967075</v>
      </c>
      <c r="K463">
        <f t="shared" si="9"/>
        <v>0.08000000000000007</v>
      </c>
      <c r="L463" s="2">
        <v>0.019132303139015577</v>
      </c>
      <c r="Q463">
        <v>-0.311294513661125</v>
      </c>
      <c r="R463">
        <f t="shared" si="10"/>
        <v>0.08000000000000007</v>
      </c>
      <c r="S463">
        <v>0.012578904943381503</v>
      </c>
    </row>
    <row r="464" spans="1:19" ht="12.75">
      <c r="A464" s="1">
        <f>DATE(1969,5,1)</f>
        <v>25324</v>
      </c>
      <c r="B464">
        <v>1969</v>
      </c>
      <c r="C464">
        <v>5</v>
      </c>
      <c r="D464">
        <v>6.08</v>
      </c>
      <c r="F464">
        <v>-0.33998944045797685</v>
      </c>
      <c r="I464">
        <v>0.25685785536159567</v>
      </c>
      <c r="J464" s="2">
        <v>52635.78516302718</v>
      </c>
      <c r="K464">
        <f t="shared" si="9"/>
        <v>-0.08000000000000007</v>
      </c>
      <c r="L464" s="2">
        <v>0.008752605183121662</v>
      </c>
      <c r="Q464">
        <v>-0.31090699853768133</v>
      </c>
      <c r="R464">
        <f t="shared" si="10"/>
        <v>-0.08000000000000007</v>
      </c>
      <c r="S464">
        <v>0.004106559838838642</v>
      </c>
    </row>
    <row r="465" spans="1:19" ht="12.75">
      <c r="A465" s="1">
        <f>DATE(1969,6,1)</f>
        <v>25355</v>
      </c>
      <c r="B465">
        <v>1969</v>
      </c>
      <c r="C465">
        <v>6</v>
      </c>
      <c r="D465">
        <v>6.49</v>
      </c>
      <c r="F465">
        <v>-0.3361059357976583</v>
      </c>
      <c r="I465">
        <v>0.25436408977556074</v>
      </c>
      <c r="J465" s="2">
        <v>52661.795001274455</v>
      </c>
      <c r="K465">
        <f t="shared" si="9"/>
        <v>0.41000000000000014</v>
      </c>
      <c r="L465" s="2">
        <v>0.002151111774071348</v>
      </c>
      <c r="Q465">
        <v>-0.31035526995211166</v>
      </c>
      <c r="R465">
        <f t="shared" si="10"/>
        <v>0.41000000000000014</v>
      </c>
      <c r="S465">
        <v>0.009872128911933417</v>
      </c>
    </row>
    <row r="466" spans="1:19" ht="12.75">
      <c r="A466" s="1">
        <f>DATE(1969,7,1)</f>
        <v>25385</v>
      </c>
      <c r="B466">
        <v>1969</v>
      </c>
      <c r="C466">
        <v>7</v>
      </c>
      <c r="D466">
        <v>7.01</v>
      </c>
      <c r="F466">
        <v>-0.33146340214749165</v>
      </c>
      <c r="I466">
        <v>0.2518703241895259</v>
      </c>
      <c r="J466" s="2">
        <v>52687.297342677804</v>
      </c>
      <c r="K466">
        <f t="shared" si="9"/>
        <v>0.5199999999999996</v>
      </c>
      <c r="L466" s="2">
        <v>0.02784457186499709</v>
      </c>
      <c r="Q466">
        <v>-0.3095884830781881</v>
      </c>
      <c r="R466">
        <f t="shared" si="10"/>
        <v>0.5199999999999996</v>
      </c>
      <c r="S466">
        <v>0.003998477506909459</v>
      </c>
    </row>
    <row r="467" spans="1:19" ht="12.75">
      <c r="A467" s="1">
        <f>DATE(1969,8,1)</f>
        <v>25416</v>
      </c>
      <c r="B467">
        <v>1969</v>
      </c>
      <c r="C467">
        <v>8</v>
      </c>
      <c r="D467">
        <v>7.01</v>
      </c>
      <c r="F467">
        <v>-0.3268677940808192</v>
      </c>
      <c r="I467">
        <v>0.24937655860349098</v>
      </c>
      <c r="J467" s="2">
        <v>52712.29718720613</v>
      </c>
      <c r="K467">
        <f t="shared" si="9"/>
        <v>0</v>
      </c>
      <c r="L467" s="2">
        <v>0.028422231670444602</v>
      </c>
      <c r="Q467">
        <v>-0.3090173620612169</v>
      </c>
      <c r="R467">
        <f t="shared" si="10"/>
        <v>0</v>
      </c>
      <c r="S467">
        <v>0.004615815028673914</v>
      </c>
    </row>
    <row r="468" spans="1:19" ht="12.75">
      <c r="A468" s="1">
        <f>DATE(1969,9,1)</f>
        <v>25447</v>
      </c>
      <c r="B468">
        <v>1969</v>
      </c>
      <c r="C468">
        <v>9</v>
      </c>
      <c r="D468">
        <v>7.13</v>
      </c>
      <c r="F468">
        <v>-0.32207373612606577</v>
      </c>
      <c r="I468">
        <v>0.24688279301745608</v>
      </c>
      <c r="J468" s="2">
        <v>52736.79953482835</v>
      </c>
      <c r="K468">
        <f t="shared" si="9"/>
        <v>0.1200000000000001</v>
      </c>
      <c r="L468" s="2">
        <v>0.025869437494302105</v>
      </c>
      <c r="Q468">
        <v>-0.30868039872703534</v>
      </c>
      <c r="R468">
        <f t="shared" si="10"/>
        <v>0.1200000000000001</v>
      </c>
      <c r="S468">
        <v>0.01446130919373566</v>
      </c>
    </row>
    <row r="469" spans="1:19" ht="12.75">
      <c r="A469" s="1">
        <f>DATE(1969,10,1)</f>
        <v>25477</v>
      </c>
      <c r="B469">
        <v>1969</v>
      </c>
      <c r="C469">
        <v>10</v>
      </c>
      <c r="D469">
        <v>7.04</v>
      </c>
      <c r="F469">
        <v>-0.31730597505211366</v>
      </c>
      <c r="I469">
        <v>0.2443890274314212</v>
      </c>
      <c r="J469" s="2">
        <v>52760.80938551336</v>
      </c>
      <c r="K469">
        <f t="shared" si="9"/>
        <v>-0.08999999999999986</v>
      </c>
      <c r="L469" s="2">
        <v>-0.007501358468802631</v>
      </c>
      <c r="Q469">
        <v>-0.3085267886497349</v>
      </c>
      <c r="R469">
        <f t="shared" si="10"/>
        <v>-0.08999999999999986</v>
      </c>
      <c r="S469">
        <v>0.0037761346558762123</v>
      </c>
    </row>
    <row r="470" spans="1:19" ht="12.75">
      <c r="A470" s="1">
        <f>DATE(1969,11,1)</f>
        <v>25508</v>
      </c>
      <c r="B470">
        <v>1969</v>
      </c>
      <c r="C470">
        <v>11</v>
      </c>
      <c r="D470">
        <v>7.2</v>
      </c>
      <c r="F470">
        <v>-0.312356860569481</v>
      </c>
      <c r="I470">
        <v>0.24189526184538632</v>
      </c>
      <c r="J470" s="2">
        <v>52784.33173923007</v>
      </c>
      <c r="K470">
        <f t="shared" si="9"/>
        <v>0.16000000000000014</v>
      </c>
      <c r="L470" s="2">
        <v>0.008279814568192557</v>
      </c>
      <c r="Q470">
        <v>-0.30814669938384065</v>
      </c>
      <c r="R470">
        <f t="shared" si="10"/>
        <v>0.16000000000000014</v>
      </c>
      <c r="S470">
        <v>-0.0080146480665286</v>
      </c>
    </row>
    <row r="471" spans="1:19" ht="12.75">
      <c r="A471" s="1">
        <f>DATE(1969,12,1)</f>
        <v>25538</v>
      </c>
      <c r="B471">
        <v>1969</v>
      </c>
      <c r="C471">
        <v>12</v>
      </c>
      <c r="D471">
        <v>7.72</v>
      </c>
      <c r="F471">
        <v>-0.30668521162963</v>
      </c>
      <c r="I471">
        <v>0.23940149625935142</v>
      </c>
      <c r="J471" s="2">
        <v>52807.37159594738</v>
      </c>
      <c r="K471">
        <f t="shared" si="9"/>
        <v>0.5199999999999996</v>
      </c>
      <c r="L471" s="2">
        <v>0.010587209182619956</v>
      </c>
      <c r="Q471">
        <v>-0.3077085044869231</v>
      </c>
      <c r="R471">
        <f t="shared" si="10"/>
        <v>0.5199999999999996</v>
      </c>
      <c r="S471">
        <v>0.010396601151826746</v>
      </c>
    </row>
    <row r="472" spans="1:19" ht="12.75">
      <c r="A472" s="1">
        <f>DATE(1970,1,1)</f>
        <v>25569</v>
      </c>
      <c r="B472">
        <v>1970</v>
      </c>
      <c r="C472">
        <v>1</v>
      </c>
      <c r="D472">
        <v>7.92</v>
      </c>
      <c r="F472">
        <v>-0.30084103895524245</v>
      </c>
      <c r="I472">
        <v>0.23690773067331652</v>
      </c>
      <c r="J472" s="2">
        <v>52829.933955634195</v>
      </c>
      <c r="K472">
        <f t="shared" si="9"/>
        <v>0.20000000000000018</v>
      </c>
      <c r="L472" s="2">
        <v>0.012561084095506275</v>
      </c>
      <c r="Q472">
        <v>-0.30736976513486197</v>
      </c>
      <c r="R472">
        <f t="shared" si="10"/>
        <v>0.20000000000000018</v>
      </c>
      <c r="S472">
        <v>0.008704868550934455</v>
      </c>
    </row>
    <row r="473" spans="1:19" ht="12.75">
      <c r="A473" s="1">
        <f>DATE(1970,2,1)</f>
        <v>25600</v>
      </c>
      <c r="B473">
        <v>1970</v>
      </c>
      <c r="C473">
        <v>2</v>
      </c>
      <c r="D473">
        <v>7.16</v>
      </c>
      <c r="F473">
        <v>-0.2957329844441009</v>
      </c>
      <c r="I473">
        <v>0.23441396508728163</v>
      </c>
      <c r="J473" s="2">
        <v>52852.023818259426</v>
      </c>
      <c r="K473">
        <f t="shared" si="9"/>
        <v>-0.7599999999999998</v>
      </c>
      <c r="L473" s="2">
        <v>-0.01749157860482907</v>
      </c>
      <c r="Q473">
        <v>-0.30743570741730897</v>
      </c>
      <c r="R473">
        <f t="shared" si="10"/>
        <v>-0.7599999999999998</v>
      </c>
      <c r="S473">
        <v>0.0021979205327025066</v>
      </c>
    </row>
    <row r="474" spans="1:19" ht="12.75">
      <c r="A474" s="1">
        <f>DATE(1970,3,1)</f>
        <v>25628</v>
      </c>
      <c r="B474">
        <v>1970</v>
      </c>
      <c r="C474">
        <v>3</v>
      </c>
      <c r="D474">
        <v>6.71</v>
      </c>
      <c r="F474">
        <v>-0.2914597057509217</v>
      </c>
      <c r="I474">
        <v>0.23192019950124673</v>
      </c>
      <c r="J474" s="2">
        <v>52873.64618379198</v>
      </c>
      <c r="K474">
        <f t="shared" si="9"/>
        <v>-0.4500000000000002</v>
      </c>
      <c r="L474" s="2">
        <v>-0.016006588894280853</v>
      </c>
      <c r="Q474">
        <v>-0.3075233749551814</v>
      </c>
      <c r="R474">
        <f t="shared" si="10"/>
        <v>-0.4500000000000002</v>
      </c>
      <c r="S474">
        <v>-0.008650209429108652</v>
      </c>
    </row>
    <row r="475" spans="1:19" ht="12.75">
      <c r="A475" s="1">
        <f>DATE(1970,4,1)</f>
        <v>25659</v>
      </c>
      <c r="B475">
        <v>1970</v>
      </c>
      <c r="C475">
        <v>4</v>
      </c>
      <c r="D475">
        <v>6.48</v>
      </c>
      <c r="F475">
        <v>-0.28773800084669693</v>
      </c>
      <c r="I475">
        <v>0.22942643391521184</v>
      </c>
      <c r="J475" s="2">
        <v>52894.80605220076</v>
      </c>
      <c r="K475">
        <f t="shared" si="9"/>
        <v>-0.22999999999999954</v>
      </c>
      <c r="L475" s="2">
        <v>0.0028819139567438402</v>
      </c>
      <c r="Q475">
        <v>-0.3076588163166264</v>
      </c>
      <c r="R475">
        <f t="shared" si="10"/>
        <v>-0.22999999999999954</v>
      </c>
      <c r="S475">
        <v>-0.001876328385967287</v>
      </c>
    </row>
    <row r="476" spans="1:19" ht="12.75">
      <c r="A476" s="1">
        <f>DATE(1970,5,1)</f>
        <v>25689</v>
      </c>
      <c r="B476">
        <v>1970</v>
      </c>
      <c r="C476">
        <v>5</v>
      </c>
      <c r="D476">
        <v>7.03</v>
      </c>
      <c r="F476">
        <v>-0.2831933391923697</v>
      </c>
      <c r="I476">
        <v>0.22693266832917697</v>
      </c>
      <c r="J476" s="2">
        <v>52915.50842345467</v>
      </c>
      <c r="K476">
        <f t="shared" si="9"/>
        <v>0.5499999999999998</v>
      </c>
      <c r="L476" s="2">
        <v>0.005348628190232118</v>
      </c>
      <c r="Q476">
        <v>-0.3070907102805365</v>
      </c>
      <c r="R476">
        <f t="shared" si="10"/>
        <v>0.5499999999999998</v>
      </c>
      <c r="S476">
        <v>-0.014040830674597701</v>
      </c>
    </row>
    <row r="477" spans="1:19" ht="12.75">
      <c r="A477" s="1">
        <f>DATE(1970,6,1)</f>
        <v>25720</v>
      </c>
      <c r="B477">
        <v>1970</v>
      </c>
      <c r="C477">
        <v>6</v>
      </c>
      <c r="D477">
        <v>6.74</v>
      </c>
      <c r="F477">
        <v>-0.2792052841410626</v>
      </c>
      <c r="I477">
        <v>0.22443890274314207</v>
      </c>
      <c r="J477" s="2">
        <v>52935.75829752261</v>
      </c>
      <c r="K477">
        <f t="shared" si="9"/>
        <v>-0.29000000000000004</v>
      </c>
      <c r="L477" s="2">
        <v>0.004890339807568024</v>
      </c>
      <c r="Q477">
        <v>-0.3066192770553795</v>
      </c>
      <c r="R477">
        <f t="shared" si="10"/>
        <v>-0.29000000000000004</v>
      </c>
      <c r="S477">
        <v>-0.008560034691157622</v>
      </c>
    </row>
    <row r="478" spans="1:19" ht="12.75">
      <c r="A478" s="1">
        <f>DATE(1970,7,1)</f>
        <v>25750</v>
      </c>
      <c r="B478">
        <v>1970</v>
      </c>
      <c r="C478">
        <v>7</v>
      </c>
      <c r="D478">
        <v>6.47</v>
      </c>
      <c r="F478">
        <v>-0.2756644658474461</v>
      </c>
      <c r="I478">
        <v>0.22194513715710718</v>
      </c>
      <c r="J478" s="2">
        <v>52955.560674373504</v>
      </c>
      <c r="K478">
        <f t="shared" si="9"/>
        <v>-0.27000000000000046</v>
      </c>
      <c r="L478" s="2">
        <v>-0.0054667201338314715</v>
      </c>
      <c r="Q478">
        <v>-0.30639906730512784</v>
      </c>
      <c r="R478">
        <f t="shared" si="10"/>
        <v>-0.27000000000000046</v>
      </c>
      <c r="S478">
        <v>-0.0023439689178537</v>
      </c>
    </row>
    <row r="479" spans="1:19" ht="12.75">
      <c r="A479" s="1">
        <f>DATE(1970,8,1)</f>
        <v>25781</v>
      </c>
      <c r="B479">
        <v>1970</v>
      </c>
      <c r="C479">
        <v>8</v>
      </c>
      <c r="D479">
        <v>6.41</v>
      </c>
      <c r="F479">
        <v>-0.27246207733507904</v>
      </c>
      <c r="I479">
        <v>0.21945137157107228</v>
      </c>
      <c r="J479" s="2">
        <v>52974.92055397624</v>
      </c>
      <c r="K479">
        <f t="shared" si="9"/>
        <v>-0.05999999999999961</v>
      </c>
      <c r="L479" s="2">
        <v>-0.0010938932191299551</v>
      </c>
      <c r="Q479">
        <v>-0.3062237191839554</v>
      </c>
      <c r="R479">
        <f t="shared" si="10"/>
        <v>-0.05999999999999961</v>
      </c>
      <c r="S479">
        <v>-0.0030466148921524713</v>
      </c>
    </row>
    <row r="480" spans="1:19" ht="12.75">
      <c r="A480" s="1">
        <f>DATE(1970,9,1)</f>
        <v>25812</v>
      </c>
      <c r="B480">
        <v>1970</v>
      </c>
      <c r="C480">
        <v>9</v>
      </c>
      <c r="D480">
        <v>6.24</v>
      </c>
      <c r="F480">
        <v>-0.2695451069637806</v>
      </c>
      <c r="I480">
        <v>0.21695760598503738</v>
      </c>
      <c r="J480" s="2">
        <v>52993.842936299734</v>
      </c>
      <c r="K480">
        <f t="shared" si="9"/>
        <v>-0.16999999999999993</v>
      </c>
      <c r="L480" s="2">
        <v>0.008556482693602725</v>
      </c>
      <c r="Q480">
        <v>-0.30624331150960177</v>
      </c>
      <c r="R480">
        <f t="shared" si="10"/>
        <v>-0.16999999999999993</v>
      </c>
      <c r="S480">
        <v>0.00048606155540853625</v>
      </c>
    </row>
    <row r="481" spans="1:19" ht="12.75">
      <c r="A481" s="1">
        <f>DATE(1970,10,1)</f>
        <v>25842</v>
      </c>
      <c r="B481">
        <v>1970</v>
      </c>
      <c r="C481">
        <v>10</v>
      </c>
      <c r="D481">
        <v>5.93</v>
      </c>
      <c r="F481">
        <v>-0.2673070890842168</v>
      </c>
      <c r="I481">
        <v>0.2144638403990025</v>
      </c>
      <c r="J481" s="2">
        <v>53012.332821312884</v>
      </c>
      <c r="K481">
        <f t="shared" si="9"/>
        <v>-0.3100000000000005</v>
      </c>
      <c r="L481" s="2">
        <v>-0.0006505425737542854</v>
      </c>
      <c r="Q481">
        <v>-0.30643686538508774</v>
      </c>
      <c r="R481">
        <f t="shared" si="10"/>
        <v>-0.3100000000000005</v>
      </c>
      <c r="S481">
        <v>-0.007118343077102048</v>
      </c>
    </row>
    <row r="482" spans="1:19" ht="12.75">
      <c r="A482" s="1">
        <f>DATE(1970,11,1)</f>
        <v>25873</v>
      </c>
      <c r="B482">
        <v>1970</v>
      </c>
      <c r="C482">
        <v>11</v>
      </c>
      <c r="D482">
        <v>5.29</v>
      </c>
      <c r="F482">
        <v>-0.26619052410394023</v>
      </c>
      <c r="I482">
        <v>0.21197007481296762</v>
      </c>
      <c r="J482" s="2">
        <v>53030.395208984606</v>
      </c>
      <c r="K482">
        <f t="shared" si="9"/>
        <v>-0.6399999999999997</v>
      </c>
      <c r="L482" s="2">
        <v>-0.0026823533463639195</v>
      </c>
      <c r="Q482">
        <v>-0.306991683861629</v>
      </c>
      <c r="R482">
        <f t="shared" si="10"/>
        <v>-0.6399999999999997</v>
      </c>
      <c r="S482">
        <v>-0.005422150005040808</v>
      </c>
    </row>
    <row r="483" spans="1:19" ht="12.75">
      <c r="A483" s="1">
        <f>DATE(1970,12,1)</f>
        <v>25903</v>
      </c>
      <c r="B483">
        <v>1970</v>
      </c>
      <c r="C483">
        <v>12</v>
      </c>
      <c r="D483">
        <v>4.86</v>
      </c>
      <c r="F483">
        <v>-0.2661162331680998</v>
      </c>
      <c r="I483">
        <v>0.20947630922693272</v>
      </c>
      <c r="J483" s="2">
        <v>53048.0350992838</v>
      </c>
      <c r="K483">
        <f t="shared" si="9"/>
        <v>-0.4299999999999997</v>
      </c>
      <c r="L483" s="2">
        <v>-0.0023800585567922933</v>
      </c>
      <c r="Q483">
        <v>-0.3077955495228234</v>
      </c>
      <c r="R483">
        <f t="shared" si="10"/>
        <v>-0.4299999999999997</v>
      </c>
      <c r="S483">
        <v>-0.003084763389815506</v>
      </c>
    </row>
    <row r="484" spans="1:19" ht="12.75">
      <c r="A484" s="1">
        <f>DATE(1971,1,1)</f>
        <v>25934</v>
      </c>
      <c r="B484">
        <v>1971</v>
      </c>
      <c r="C484">
        <v>1</v>
      </c>
      <c r="D484">
        <v>4.49</v>
      </c>
      <c r="F484">
        <v>-0.2667706918229035</v>
      </c>
      <c r="I484">
        <v>0.20698254364089783</v>
      </c>
      <c r="J484" s="2">
        <v>53065.257492179364</v>
      </c>
      <c r="K484">
        <f t="shared" si="9"/>
        <v>-0.3700000000000001</v>
      </c>
      <c r="L484" s="2">
        <v>-0.006844493480460714</v>
      </c>
      <c r="Q484">
        <v>-0.3088142718099501</v>
      </c>
      <c r="R484">
        <f t="shared" si="10"/>
        <v>-0.3700000000000001</v>
      </c>
      <c r="S484">
        <v>-0.0019158852229647742</v>
      </c>
    </row>
    <row r="485" spans="1:19" ht="12.75">
      <c r="A485" s="1">
        <f>DATE(1971,2,1)</f>
        <v>25965</v>
      </c>
      <c r="B485">
        <v>1971</v>
      </c>
      <c r="C485">
        <v>2</v>
      </c>
      <c r="D485">
        <v>3.78</v>
      </c>
      <c r="F485">
        <v>-0.26845779740129233</v>
      </c>
      <c r="I485">
        <v>0.20448877805486293</v>
      </c>
      <c r="J485" s="2">
        <v>53082.067387640214</v>
      </c>
      <c r="K485">
        <f t="shared" si="9"/>
        <v>-0.7100000000000004</v>
      </c>
      <c r="L485" s="2">
        <v>-0.007805185860339571</v>
      </c>
      <c r="Q485">
        <v>-0.3104072985667049</v>
      </c>
      <c r="R485">
        <f t="shared" si="10"/>
        <v>-0.7100000000000004</v>
      </c>
      <c r="S485">
        <v>0.003468960648586424</v>
      </c>
    </row>
    <row r="486" spans="1:19" ht="12.75">
      <c r="A486" s="1">
        <f>DATE(1971,3,1)</f>
        <v>25993</v>
      </c>
      <c r="B486">
        <v>1971</v>
      </c>
      <c r="C486">
        <v>3</v>
      </c>
      <c r="D486">
        <v>3.33</v>
      </c>
      <c r="F486">
        <v>-0.2707988393383557</v>
      </c>
      <c r="I486">
        <v>0.20199501246882803</v>
      </c>
      <c r="J486" s="2">
        <v>53098.46978563525</v>
      </c>
      <c r="K486">
        <f t="shared" si="9"/>
        <v>-0.44999999999999973</v>
      </c>
      <c r="L486" s="2">
        <v>-0.022294655753096998</v>
      </c>
      <c r="Q486">
        <v>-0.31242404209096125</v>
      </c>
      <c r="R486">
        <f t="shared" si="10"/>
        <v>-0.44999999999999973</v>
      </c>
      <c r="S486">
        <v>0.004035543633273783</v>
      </c>
    </row>
    <row r="487" spans="1:19" ht="12.75">
      <c r="A487" s="1">
        <f>DATE(1971,4,1)</f>
        <v>26024</v>
      </c>
      <c r="B487">
        <v>1971</v>
      </c>
      <c r="C487">
        <v>4</v>
      </c>
      <c r="D487">
        <v>3.78</v>
      </c>
      <c r="F487">
        <v>-0.2722615541403313</v>
      </c>
      <c r="I487">
        <v>0.19950124688279314</v>
      </c>
      <c r="J487" s="2">
        <v>53114.46968613338</v>
      </c>
      <c r="K487">
        <f t="shared" si="9"/>
        <v>0.44999999999999973</v>
      </c>
      <c r="L487" s="2">
        <v>-0.01964324955002999</v>
      </c>
      <c r="Q487">
        <v>-0.31410476297252693</v>
      </c>
      <c r="R487">
        <f t="shared" si="10"/>
        <v>0.44999999999999973</v>
      </c>
      <c r="S487">
        <v>0.002081082811555054</v>
      </c>
    </row>
    <row r="488" spans="1:19" ht="12.75">
      <c r="A488" s="1">
        <f>DATE(1971,5,1)</f>
        <v>26054</v>
      </c>
      <c r="B488">
        <v>1971</v>
      </c>
      <c r="C488">
        <v>5</v>
      </c>
      <c r="D488">
        <v>4.14</v>
      </c>
      <c r="F488">
        <v>-0.2732230946103804</v>
      </c>
      <c r="I488">
        <v>0.1970074812967582</v>
      </c>
      <c r="J488" s="2">
        <v>53130.07208910351</v>
      </c>
      <c r="K488">
        <f t="shared" si="9"/>
        <v>0.3599999999999999</v>
      </c>
      <c r="L488" s="2">
        <v>0.01366701480394871</v>
      </c>
      <c r="Q488">
        <v>-0.3154157862804294</v>
      </c>
      <c r="R488">
        <f t="shared" si="10"/>
        <v>0.3599999999999999</v>
      </c>
      <c r="S488">
        <v>-0.009569314037979183</v>
      </c>
    </row>
    <row r="489" spans="1:19" ht="12.75">
      <c r="A489" s="1">
        <f>DATE(1971,6,1)</f>
        <v>26085</v>
      </c>
      <c r="B489">
        <v>1971</v>
      </c>
      <c r="C489">
        <v>6</v>
      </c>
      <c r="D489">
        <v>4.7</v>
      </c>
      <c r="F489">
        <v>-0.2730816142216945</v>
      </c>
      <c r="I489">
        <v>0.1945137157107233</v>
      </c>
      <c r="J489" s="2">
        <v>53145.281994514546</v>
      </c>
      <c r="K489">
        <f t="shared" si="9"/>
        <v>0.5600000000000005</v>
      </c>
      <c r="L489" s="2">
        <v>-0.011246153170402735</v>
      </c>
      <c r="Q489">
        <v>-0.31651482627283556</v>
      </c>
      <c r="R489">
        <f t="shared" si="10"/>
        <v>0.5600000000000005</v>
      </c>
      <c r="S489">
        <v>0.003135248678105448</v>
      </c>
    </row>
    <row r="490" spans="1:19" ht="12.75">
      <c r="A490" s="1">
        <f>DATE(1971,7,1)</f>
        <v>26115</v>
      </c>
      <c r="B490">
        <v>1971</v>
      </c>
      <c r="C490">
        <v>7</v>
      </c>
      <c r="D490">
        <v>5.41</v>
      </c>
      <c r="F490">
        <v>-0.2717332244699455</v>
      </c>
      <c r="I490">
        <v>0.1920199501246884</v>
      </c>
      <c r="J490" s="2">
        <v>53160.10440233539</v>
      </c>
      <c r="K490">
        <f t="shared" si="9"/>
        <v>0.71</v>
      </c>
      <c r="L490" s="2">
        <v>-0.002198362883210158</v>
      </c>
      <c r="Q490">
        <v>-0.31723572829728236</v>
      </c>
      <c r="R490">
        <f t="shared" si="10"/>
        <v>0.71</v>
      </c>
      <c r="S490">
        <v>-0.003259115466010493</v>
      </c>
    </row>
    <row r="491" spans="1:19" ht="12.75">
      <c r="A491" s="1">
        <f>DATE(1971,8,1)</f>
        <v>26146</v>
      </c>
      <c r="B491">
        <v>1971</v>
      </c>
      <c r="C491">
        <v>8</v>
      </c>
      <c r="D491">
        <v>5.08</v>
      </c>
      <c r="F491">
        <v>-0.27103077244474977</v>
      </c>
      <c r="I491">
        <v>0.18952618453865347</v>
      </c>
      <c r="J491" s="2">
        <v>53174.544312534956</v>
      </c>
      <c r="K491">
        <f t="shared" si="9"/>
        <v>-0.33000000000000007</v>
      </c>
      <c r="L491" s="2">
        <v>0.008401110302343076</v>
      </c>
      <c r="Q491">
        <v>-0.31819902761422764</v>
      </c>
      <c r="R491">
        <f t="shared" si="10"/>
        <v>-0.33000000000000007</v>
      </c>
      <c r="S491">
        <v>0.0030945125476871697</v>
      </c>
    </row>
    <row r="492" spans="1:19" ht="12.75">
      <c r="A492" s="1">
        <f>DATE(1971,9,1)</f>
        <v>26177</v>
      </c>
      <c r="B492">
        <v>1971</v>
      </c>
      <c r="C492">
        <v>9</v>
      </c>
      <c r="D492">
        <v>4.67</v>
      </c>
      <c r="F492">
        <v>-0.2710656273854665</v>
      </c>
      <c r="I492">
        <v>0.18703241895261855</v>
      </c>
      <c r="J492" s="2">
        <v>53188.60672508214</v>
      </c>
      <c r="K492">
        <f t="shared" si="9"/>
        <v>-0.41000000000000014</v>
      </c>
      <c r="L492" s="2">
        <v>0.014094944885114936</v>
      </c>
      <c r="Q492">
        <v>-0.31934854202679386</v>
      </c>
      <c r="R492">
        <f t="shared" si="10"/>
        <v>-0.41000000000000014</v>
      </c>
      <c r="S492">
        <v>0.0004503841139930421</v>
      </c>
    </row>
    <row r="493" spans="1:19" ht="12.75">
      <c r="A493" s="1">
        <f>DATE(1971,10,1)</f>
        <v>26207</v>
      </c>
      <c r="B493">
        <v>1971</v>
      </c>
      <c r="C493">
        <v>10</v>
      </c>
      <c r="D493">
        <v>4.49</v>
      </c>
      <c r="F493">
        <v>-0.2713701931836302</v>
      </c>
      <c r="I493">
        <v>0.18453865336658365</v>
      </c>
      <c r="J493" s="2">
        <v>53202.29663994586</v>
      </c>
      <c r="K493">
        <f t="shared" si="9"/>
        <v>-0.17999999999999972</v>
      </c>
      <c r="L493" s="2">
        <v>0.008365986240336869</v>
      </c>
      <c r="Q493">
        <v>-0.32047301091631486</v>
      </c>
      <c r="R493">
        <f t="shared" si="10"/>
        <v>-0.17999999999999972</v>
      </c>
      <c r="S493">
        <v>-0.00608331653848752</v>
      </c>
    </row>
    <row r="494" spans="1:19" ht="12.75">
      <c r="A494" s="1">
        <f>DATE(1971,11,1)</f>
        <v>26238</v>
      </c>
      <c r="B494">
        <v>1971</v>
      </c>
      <c r="C494">
        <v>11</v>
      </c>
      <c r="D494">
        <v>4.19</v>
      </c>
      <c r="F494">
        <v>-0.27213935921323684</v>
      </c>
      <c r="I494">
        <v>0.18204488778054873</v>
      </c>
      <c r="J494" s="2">
        <v>53215.619057095006</v>
      </c>
      <c r="K494">
        <f aca="true" t="shared" si="11" ref="K494:K557">D494-D493</f>
        <v>-0.2999999999999998</v>
      </c>
      <c r="L494" s="2">
        <v>0.0022708795440043233</v>
      </c>
      <c r="Q494">
        <v>-0.3216730339845695</v>
      </c>
      <c r="R494">
        <f t="shared" si="10"/>
        <v>-0.2999999999999998</v>
      </c>
      <c r="S494">
        <v>-0.007108209825897994</v>
      </c>
    </row>
    <row r="495" spans="1:19" ht="12.75">
      <c r="A495" s="1">
        <f>DATE(1971,12,1)</f>
        <v>26268</v>
      </c>
      <c r="B495">
        <v>1971</v>
      </c>
      <c r="C495">
        <v>12</v>
      </c>
      <c r="D495">
        <v>4.02</v>
      </c>
      <c r="F495">
        <v>-0.2731127417374149</v>
      </c>
      <c r="I495">
        <v>0.1795511221945138</v>
      </c>
      <c r="J495" s="2">
        <v>53228.578976498495</v>
      </c>
      <c r="K495">
        <f t="shared" si="11"/>
        <v>-0.17000000000000082</v>
      </c>
      <c r="L495" s="2">
        <v>-0.003968184554479053</v>
      </c>
      <c r="Q495">
        <v>-0.32308066791684337</v>
      </c>
      <c r="R495">
        <f t="shared" si="10"/>
        <v>-0.17000000000000082</v>
      </c>
      <c r="S495">
        <v>0.005817257466766422</v>
      </c>
    </row>
    <row r="496" spans="1:19" ht="12.75">
      <c r="A496" s="1">
        <f>DATE(1972,1,1)</f>
        <v>26299</v>
      </c>
      <c r="B496">
        <v>1972</v>
      </c>
      <c r="C496">
        <v>1</v>
      </c>
      <c r="D496">
        <v>3.41</v>
      </c>
      <c r="F496">
        <v>-0.2750649096424467</v>
      </c>
      <c r="I496">
        <v>0.1770573566084789</v>
      </c>
      <c r="J496" s="2">
        <v>53241.18139812523</v>
      </c>
      <c r="K496">
        <f t="shared" si="11"/>
        <v>-0.6099999999999994</v>
      </c>
      <c r="L496" s="2">
        <v>-0.014249826976791486</v>
      </c>
      <c r="Q496">
        <v>-0.32496601438824874</v>
      </c>
      <c r="R496">
        <f t="shared" si="10"/>
        <v>-0.6099999999999994</v>
      </c>
      <c r="S496">
        <v>0.004156599197975505</v>
      </c>
    </row>
    <row r="497" spans="1:19" ht="12.75">
      <c r="A497" s="1">
        <f>DATE(1972,2,1)</f>
        <v>26330</v>
      </c>
      <c r="B497">
        <v>1972</v>
      </c>
      <c r="C497">
        <v>2</v>
      </c>
      <c r="D497">
        <v>3.18</v>
      </c>
      <c r="F497">
        <v>-0.2774751638240027</v>
      </c>
      <c r="I497">
        <v>0.17456359102244398</v>
      </c>
      <c r="J497" s="2">
        <v>53253.43132194411</v>
      </c>
      <c r="K497">
        <f t="shared" si="11"/>
        <v>-0.22999999999999998</v>
      </c>
      <c r="L497" s="2">
        <v>-0.02527208949860261</v>
      </c>
      <c r="Q497">
        <v>-0.3268887643508323</v>
      </c>
      <c r="R497">
        <f t="shared" si="10"/>
        <v>-0.22999999999999998</v>
      </c>
      <c r="S497">
        <v>-0.0013412852505833206</v>
      </c>
    </row>
    <row r="498" spans="1:19" ht="12.75">
      <c r="A498" s="1">
        <f>DATE(1972,3,1)</f>
        <v>26359</v>
      </c>
      <c r="B498">
        <v>1972</v>
      </c>
      <c r="C498">
        <v>3</v>
      </c>
      <c r="D498">
        <v>3.72</v>
      </c>
      <c r="F498">
        <v>-0.27872387233850043</v>
      </c>
      <c r="I498">
        <v>0.17206982543640906</v>
      </c>
      <c r="J498" s="2">
        <v>53265.33374792405</v>
      </c>
      <c r="K498">
        <f t="shared" si="11"/>
        <v>0.54</v>
      </c>
      <c r="L498" s="2">
        <v>-0.008612533561922302</v>
      </c>
      <c r="Q498">
        <v>-0.32834109801165534</v>
      </c>
      <c r="R498">
        <f t="shared" si="10"/>
        <v>0.54</v>
      </c>
      <c r="S498">
        <v>-0.0031107940379681547</v>
      </c>
    </row>
    <row r="499" spans="1:19" ht="12.75">
      <c r="A499" s="1">
        <f>DATE(1972,4,1)</f>
        <v>26390</v>
      </c>
      <c r="B499">
        <v>1972</v>
      </c>
      <c r="C499">
        <v>4</v>
      </c>
      <c r="D499">
        <v>3.72</v>
      </c>
      <c r="F499">
        <v>-0.2796980923880079</v>
      </c>
      <c r="I499">
        <v>0.16957605985037416</v>
      </c>
      <c r="J499" s="2">
        <v>53276.89367603395</v>
      </c>
      <c r="K499">
        <f t="shared" si="11"/>
        <v>0</v>
      </c>
      <c r="L499" s="2">
        <v>-0.00995566122096389</v>
      </c>
      <c r="Q499">
        <v>-0.3299489598246117</v>
      </c>
      <c r="R499">
        <f t="shared" si="10"/>
        <v>0</v>
      </c>
      <c r="S499">
        <v>0.0069588400731040775</v>
      </c>
    </row>
    <row r="500" spans="1:19" ht="12.75">
      <c r="A500" s="1">
        <f>DATE(1972,5,1)</f>
        <v>26420</v>
      </c>
      <c r="B500">
        <v>1972</v>
      </c>
      <c r="C500">
        <v>5</v>
      </c>
      <c r="D500">
        <v>3.65</v>
      </c>
      <c r="F500">
        <v>-0.280606719646258</v>
      </c>
      <c r="I500">
        <v>0.16708229426433924</v>
      </c>
      <c r="J500" s="2">
        <v>53288.11610624272</v>
      </c>
      <c r="K500">
        <f t="shared" si="11"/>
        <v>-0.07000000000000028</v>
      </c>
      <c r="L500" s="2">
        <v>-0.0014592290048912016</v>
      </c>
      <c r="Q500">
        <v>-0.3317073536371341</v>
      </c>
      <c r="R500">
        <f t="shared" si="10"/>
        <v>-0.07000000000000028</v>
      </c>
      <c r="S500">
        <v>0.00583677275747293</v>
      </c>
    </row>
    <row r="501" spans="1:19" ht="12.75">
      <c r="A501" s="1">
        <f>DATE(1972,6,1)</f>
        <v>26451</v>
      </c>
      <c r="B501">
        <v>1972</v>
      </c>
      <c r="C501">
        <v>6</v>
      </c>
      <c r="D501">
        <v>3.87</v>
      </c>
      <c r="F501">
        <v>-0.2810210501820595</v>
      </c>
      <c r="I501">
        <v>0.1645885286783043</v>
      </c>
      <c r="J501" s="2">
        <v>53299.00603851926</v>
      </c>
      <c r="K501">
        <f t="shared" si="11"/>
        <v>0.2200000000000002</v>
      </c>
      <c r="L501" s="2">
        <v>0.005836218155960086</v>
      </c>
      <c r="Q501">
        <v>-0.33350959464174157</v>
      </c>
      <c r="R501">
        <f t="shared" si="10"/>
        <v>0.2200000000000002</v>
      </c>
      <c r="S501">
        <v>0.008443443554748242</v>
      </c>
    </row>
    <row r="502" spans="1:19" ht="12.75">
      <c r="A502" s="1">
        <f>DATE(1972,7,1)</f>
        <v>26481</v>
      </c>
      <c r="B502">
        <v>1972</v>
      </c>
      <c r="C502">
        <v>7</v>
      </c>
      <c r="D502">
        <v>4.06</v>
      </c>
      <c r="F502">
        <v>-0.28094969618409105</v>
      </c>
      <c r="I502">
        <v>0.16209476309226942</v>
      </c>
      <c r="J502" s="2">
        <v>53309.568472832485</v>
      </c>
      <c r="K502">
        <f t="shared" si="11"/>
        <v>0.1899999999999995</v>
      </c>
      <c r="L502" s="2">
        <v>-0.011127227495714018</v>
      </c>
      <c r="Q502">
        <v>-0.3353579043770433</v>
      </c>
      <c r="R502">
        <f t="shared" si="10"/>
        <v>0.1899999999999995</v>
      </c>
      <c r="S502">
        <v>0.008119575042522677</v>
      </c>
    </row>
    <row r="503" spans="1:19" ht="12.75">
      <c r="A503" s="1">
        <f>DATE(1972,8,1)</f>
        <v>26512</v>
      </c>
      <c r="B503">
        <v>1972</v>
      </c>
      <c r="C503">
        <v>8</v>
      </c>
      <c r="D503">
        <v>4.01</v>
      </c>
      <c r="F503">
        <v>-0.2808349311441756</v>
      </c>
      <c r="I503">
        <v>0.1596009975062345</v>
      </c>
      <c r="J503" s="2">
        <v>53319.80840915129</v>
      </c>
      <c r="K503">
        <f t="shared" si="11"/>
        <v>-0.04999999999999982</v>
      </c>
      <c r="L503" s="2">
        <v>-0.008617774688267464</v>
      </c>
      <c r="Q503">
        <v>-0.33735044410139875</v>
      </c>
      <c r="R503">
        <f t="shared" si="10"/>
        <v>-0.04999999999999982</v>
      </c>
      <c r="S503">
        <v>0.0078075555189452885</v>
      </c>
    </row>
    <row r="504" spans="1:19" ht="12.75">
      <c r="A504" s="1">
        <f>DATE(1972,9,1)</f>
        <v>26543</v>
      </c>
      <c r="B504">
        <v>1972</v>
      </c>
      <c r="C504">
        <v>9</v>
      </c>
      <c r="D504">
        <v>4.65</v>
      </c>
      <c r="F504">
        <v>-0.27967235295845494</v>
      </c>
      <c r="I504">
        <v>0.15710723192019957</v>
      </c>
      <c r="J504" s="2">
        <v>53329.73084744458</v>
      </c>
      <c r="K504">
        <f t="shared" si="11"/>
        <v>0.6400000000000006</v>
      </c>
      <c r="L504" s="2">
        <v>0.01457129537997728</v>
      </c>
      <c r="Q504">
        <v>-0.33891095361073037</v>
      </c>
      <c r="R504">
        <f t="shared" si="10"/>
        <v>0.6400000000000006</v>
      </c>
      <c r="S504">
        <v>0.002407307147557919</v>
      </c>
    </row>
    <row r="505" spans="1:19" ht="12.75">
      <c r="A505" s="1">
        <f>DATE(1972,10,1)</f>
        <v>26573</v>
      </c>
      <c r="B505">
        <v>1972</v>
      </c>
      <c r="C505">
        <v>10</v>
      </c>
      <c r="D505">
        <v>4.72</v>
      </c>
      <c r="F505">
        <v>-0.27841507193501974</v>
      </c>
      <c r="I505">
        <v>0.15461346633416467</v>
      </c>
      <c r="J505" s="2">
        <v>53339.34078768127</v>
      </c>
      <c r="K505">
        <f t="shared" si="11"/>
        <v>0.0699999999999994</v>
      </c>
      <c r="L505" s="2">
        <v>-0.0014436183442970525</v>
      </c>
      <c r="Q505">
        <v>-0.34055650650526736</v>
      </c>
      <c r="R505">
        <f t="shared" si="10"/>
        <v>0.0699999999999994</v>
      </c>
      <c r="S505">
        <v>0.007793056581501694</v>
      </c>
    </row>
    <row r="506" spans="1:19" ht="12.75">
      <c r="A506" s="1">
        <f>DATE(1972,11,1)</f>
        <v>26604</v>
      </c>
      <c r="B506">
        <v>1972</v>
      </c>
      <c r="C506">
        <v>11</v>
      </c>
      <c r="D506">
        <v>4.78</v>
      </c>
      <c r="F506">
        <v>-0.2769565414138523</v>
      </c>
      <c r="I506">
        <v>0.15211970074812975</v>
      </c>
      <c r="J506" s="2">
        <v>53348.64322983026</v>
      </c>
      <c r="K506">
        <f t="shared" si="11"/>
        <v>0.0600000000000005</v>
      </c>
      <c r="L506" s="2">
        <v>-0.0008074419881192972</v>
      </c>
      <c r="Q506">
        <v>-0.3422621380825508</v>
      </c>
      <c r="R506">
        <f t="shared" si="10"/>
        <v>0.0600000000000005</v>
      </c>
      <c r="S506">
        <v>0.006103857035635022</v>
      </c>
    </row>
    <row r="507" spans="1:19" ht="12.75">
      <c r="A507" s="1">
        <f>DATE(1972,12,1)</f>
        <v>26634</v>
      </c>
      <c r="B507">
        <v>1972</v>
      </c>
      <c r="C507">
        <v>12</v>
      </c>
      <c r="D507">
        <v>5.06</v>
      </c>
      <c r="F507">
        <v>-0.2749623194366294</v>
      </c>
      <c r="I507">
        <v>0.14962593516209483</v>
      </c>
      <c r="J507" s="2">
        <v>53357.64317386046</v>
      </c>
      <c r="K507">
        <f t="shared" si="11"/>
        <v>0.27999999999999936</v>
      </c>
      <c r="L507" s="2">
        <v>-0.007064901810653747</v>
      </c>
      <c r="Q507">
        <v>-0.34381757377095246</v>
      </c>
      <c r="R507">
        <f t="shared" si="10"/>
        <v>0.27999999999999936</v>
      </c>
      <c r="S507">
        <v>0.0022676957013202646</v>
      </c>
    </row>
    <row r="508" spans="1:19" ht="12.75">
      <c r="A508" s="1">
        <f>DATE(1973,1,1)</f>
        <v>26665</v>
      </c>
      <c r="B508">
        <v>1973</v>
      </c>
      <c r="C508">
        <v>1</v>
      </c>
      <c r="D508">
        <v>5.31</v>
      </c>
      <c r="F508">
        <v>-0.27265367948809194</v>
      </c>
      <c r="I508">
        <v>0.14713216957605993</v>
      </c>
      <c r="J508" s="2">
        <v>53366.34561974077</v>
      </c>
      <c r="K508">
        <f t="shared" si="11"/>
        <v>0.25</v>
      </c>
      <c r="L508" s="2">
        <v>-0.006163184690153137</v>
      </c>
      <c r="Q508">
        <v>-0.3452634345428864</v>
      </c>
      <c r="R508">
        <f t="shared" si="10"/>
        <v>0.25</v>
      </c>
      <c r="S508">
        <v>-0.00020830954760184177</v>
      </c>
    </row>
    <row r="509" spans="1:19" ht="12.75">
      <c r="A509" s="1">
        <f>DATE(1973,2,1)</f>
        <v>26696</v>
      </c>
      <c r="B509">
        <v>1973</v>
      </c>
      <c r="C509">
        <v>2</v>
      </c>
      <c r="D509">
        <v>5.56</v>
      </c>
      <c r="F509">
        <v>-0.2698223724569881</v>
      </c>
      <c r="I509">
        <v>0.144638403990025</v>
      </c>
      <c r="J509" s="2">
        <v>53374.7555674401</v>
      </c>
      <c r="K509">
        <f t="shared" si="11"/>
        <v>0.25</v>
      </c>
      <c r="L509" s="2">
        <v>0.002007052017290641</v>
      </c>
      <c r="Q509">
        <v>-0.34652737582029547</v>
      </c>
      <c r="R509">
        <f t="shared" si="10"/>
        <v>0.25</v>
      </c>
      <c r="S509">
        <v>-0.0028490793988117068</v>
      </c>
    </row>
    <row r="510" spans="1:19" ht="12.75">
      <c r="A510" s="1">
        <f>DATE(1973,3,1)</f>
        <v>26724</v>
      </c>
      <c r="B510">
        <v>1973</v>
      </c>
      <c r="C510">
        <v>3</v>
      </c>
      <c r="D510">
        <v>6.05</v>
      </c>
      <c r="F510">
        <v>-0.26601720853679933</v>
      </c>
      <c r="I510">
        <v>0.1421446384039901</v>
      </c>
      <c r="J510" s="2">
        <v>53382.87801692735</v>
      </c>
      <c r="K510">
        <f t="shared" si="11"/>
        <v>0.4900000000000002</v>
      </c>
      <c r="L510" s="2">
        <v>0.01306202422833023</v>
      </c>
      <c r="Q510">
        <v>-0.34745893225915014</v>
      </c>
      <c r="R510">
        <f t="shared" si="10"/>
        <v>0.4900000000000002</v>
      </c>
      <c r="S510">
        <v>-0.0017912007915636436</v>
      </c>
    </row>
    <row r="511" spans="1:19" ht="12.75">
      <c r="A511" s="1">
        <f>DATE(1973,4,1)</f>
        <v>26755</v>
      </c>
      <c r="B511">
        <v>1973</v>
      </c>
      <c r="C511">
        <v>4</v>
      </c>
      <c r="D511">
        <v>6.29</v>
      </c>
      <c r="F511">
        <v>-0.2616758975609218</v>
      </c>
      <c r="I511">
        <v>0.13965087281795519</v>
      </c>
      <c r="J511" s="2">
        <v>53390.71796817143</v>
      </c>
      <c r="K511">
        <f t="shared" si="11"/>
        <v>0.2400000000000002</v>
      </c>
      <c r="L511" s="2">
        <v>0.00519893501550502</v>
      </c>
      <c r="Q511">
        <v>-0.3482872967921891</v>
      </c>
      <c r="R511">
        <f aca="true" t="shared" si="12" ref="R511:R574">D511-D510</f>
        <v>0.2400000000000002</v>
      </c>
      <c r="S511">
        <v>0.004677000987064649</v>
      </c>
    </row>
    <row r="512" spans="1:19" ht="12.75">
      <c r="A512" s="1">
        <f>DATE(1973,5,1)</f>
        <v>26785</v>
      </c>
      <c r="B512">
        <v>1973</v>
      </c>
      <c r="C512">
        <v>5</v>
      </c>
      <c r="D512">
        <v>6.35</v>
      </c>
      <c r="F512">
        <v>-0.25707453290741517</v>
      </c>
      <c r="I512">
        <v>0.13715710723192026</v>
      </c>
      <c r="J512" s="2">
        <v>53398.28042114125</v>
      </c>
      <c r="K512">
        <f t="shared" si="11"/>
        <v>0.05999999999999961</v>
      </c>
      <c r="L512" s="2">
        <v>0.010946295930769793</v>
      </c>
      <c r="Q512">
        <v>-0.3491371689975151</v>
      </c>
      <c r="R512">
        <f t="shared" si="12"/>
        <v>0.05999999999999961</v>
      </c>
      <c r="S512">
        <v>0.00492908059905496</v>
      </c>
    </row>
    <row r="513" spans="1:19" ht="12.75">
      <c r="A513" s="1">
        <f>DATE(1973,6,1)</f>
        <v>26816</v>
      </c>
      <c r="B513">
        <v>1973</v>
      </c>
      <c r="C513">
        <v>6</v>
      </c>
      <c r="D513">
        <v>7.19</v>
      </c>
      <c r="F513">
        <v>-0.25095494701276483</v>
      </c>
      <c r="I513">
        <v>0.13466334164588536</v>
      </c>
      <c r="J513" s="2">
        <v>53405.57037580571</v>
      </c>
      <c r="K513">
        <f t="shared" si="11"/>
        <v>0.8400000000000007</v>
      </c>
      <c r="L513" s="2">
        <v>0.0038664378037190235</v>
      </c>
      <c r="Q513">
        <v>-0.34949014739129736</v>
      </c>
      <c r="R513">
        <f t="shared" si="12"/>
        <v>0.8400000000000007</v>
      </c>
      <c r="S513">
        <v>0.0035738028031223465</v>
      </c>
    </row>
    <row r="514" spans="1:19" ht="12.75">
      <c r="A514" s="1">
        <f>DATE(1973,7,1)</f>
        <v>26846</v>
      </c>
      <c r="B514">
        <v>1973</v>
      </c>
      <c r="C514">
        <v>7</v>
      </c>
      <c r="D514">
        <v>8.02</v>
      </c>
      <c r="F514">
        <v>-0.2436280574521343</v>
      </c>
      <c r="I514">
        <v>0.13216957605985044</v>
      </c>
      <c r="J514" s="2">
        <v>53412.59283213372</v>
      </c>
      <c r="K514">
        <f t="shared" si="11"/>
        <v>0.8299999999999992</v>
      </c>
      <c r="L514" s="2">
        <v>0.004129812850657079</v>
      </c>
      <c r="Q514">
        <v>-0.34929117871114307</v>
      </c>
      <c r="R514">
        <f t="shared" si="12"/>
        <v>0.8299999999999992</v>
      </c>
      <c r="S514">
        <v>-0.0021350049379044896</v>
      </c>
    </row>
    <row r="515" spans="1:19" ht="12.75">
      <c r="A515" s="1">
        <f>DATE(1973,8,1)</f>
        <v>26877</v>
      </c>
      <c r="B515">
        <v>1973</v>
      </c>
      <c r="C515">
        <v>8</v>
      </c>
      <c r="D515">
        <v>8.67</v>
      </c>
      <c r="F515">
        <v>-0.23518150261665285</v>
      </c>
      <c r="I515">
        <v>0.12967581047381552</v>
      </c>
      <c r="J515" s="2">
        <v>53419.35279009418</v>
      </c>
      <c r="K515">
        <f t="shared" si="11"/>
        <v>0.6500000000000004</v>
      </c>
      <c r="L515" s="2">
        <v>0.015698128602792547</v>
      </c>
      <c r="Q515">
        <v>-0.34861529490433424</v>
      </c>
      <c r="R515">
        <f t="shared" si="12"/>
        <v>0.6500000000000004</v>
      </c>
      <c r="S515">
        <v>-0.0025319008001843855</v>
      </c>
    </row>
    <row r="516" spans="1:19" ht="12.75">
      <c r="A516" s="1">
        <f>DATE(1973,9,1)</f>
        <v>26908</v>
      </c>
      <c r="B516">
        <v>1973</v>
      </c>
      <c r="C516">
        <v>9</v>
      </c>
      <c r="D516">
        <v>8.48</v>
      </c>
      <c r="F516">
        <v>-0.2271200137546859</v>
      </c>
      <c r="I516">
        <v>0.12718204488778062</v>
      </c>
      <c r="J516" s="2">
        <v>53425.85524965599</v>
      </c>
      <c r="K516">
        <f t="shared" si="11"/>
        <v>-0.1899999999999995</v>
      </c>
      <c r="L516" s="2">
        <v>0.004872136632747581</v>
      </c>
      <c r="Q516">
        <v>-0.3479819745171707</v>
      </c>
      <c r="R516">
        <f t="shared" si="12"/>
        <v>-0.1899999999999995</v>
      </c>
      <c r="S516">
        <v>-0.0017751261460615373</v>
      </c>
    </row>
    <row r="517" spans="1:19" ht="12.75">
      <c r="A517" s="1">
        <f>DATE(1973,10,1)</f>
        <v>26938</v>
      </c>
      <c r="B517">
        <v>1973</v>
      </c>
      <c r="C517">
        <v>10</v>
      </c>
      <c r="D517">
        <v>7.16</v>
      </c>
      <c r="F517">
        <v>-0.2213277081221751</v>
      </c>
      <c r="I517">
        <v>0.1246882793017457</v>
      </c>
      <c r="J517" s="2">
        <v>53432.105210788075</v>
      </c>
      <c r="K517">
        <f t="shared" si="11"/>
        <v>-1.3200000000000003</v>
      </c>
      <c r="L517" s="2">
        <v>-0.00789682985981683</v>
      </c>
      <c r="Q517">
        <v>-0.3482572297439484</v>
      </c>
      <c r="R517">
        <f t="shared" si="12"/>
        <v>-1.3200000000000003</v>
      </c>
      <c r="S517">
        <v>0.00488277034268626</v>
      </c>
    </row>
    <row r="518" spans="1:19" ht="12.75">
      <c r="A518" s="1">
        <f>DATE(1973,11,1)</f>
        <v>26969</v>
      </c>
      <c r="B518">
        <v>1973</v>
      </c>
      <c r="C518">
        <v>11</v>
      </c>
      <c r="D518">
        <v>7.87</v>
      </c>
      <c r="F518">
        <v>-0.2143757192997634</v>
      </c>
      <c r="I518">
        <v>0.12219451371571079</v>
      </c>
      <c r="J518" s="2">
        <v>53438.10767345933</v>
      </c>
      <c r="K518">
        <f t="shared" si="11"/>
        <v>0.71</v>
      </c>
      <c r="L518" s="2">
        <v>0.010752082021655483</v>
      </c>
      <c r="Q518">
        <v>-0.3479997468608751</v>
      </c>
      <c r="R518">
        <f t="shared" si="12"/>
        <v>0.71</v>
      </c>
      <c r="S518">
        <v>-0.002822262390645732</v>
      </c>
    </row>
    <row r="519" spans="1:19" ht="12.75">
      <c r="A519" s="1">
        <f>DATE(1973,12,1)</f>
        <v>26999</v>
      </c>
      <c r="B519">
        <v>1973</v>
      </c>
      <c r="C519">
        <v>12</v>
      </c>
      <c r="D519">
        <v>7.37</v>
      </c>
      <c r="F519">
        <v>-0.2083190609679824</v>
      </c>
      <c r="I519">
        <v>0.11970074812967586</v>
      </c>
      <c r="J519" s="2">
        <v>53443.86763763866</v>
      </c>
      <c r="K519">
        <f t="shared" si="11"/>
        <v>-0.5</v>
      </c>
      <c r="L519" s="2">
        <v>0.009332707523590469</v>
      </c>
      <c r="Q519">
        <v>-0.34787611513543126</v>
      </c>
      <c r="R519">
        <f t="shared" si="12"/>
        <v>-0.5</v>
      </c>
      <c r="S519">
        <v>-0.007915809855951136</v>
      </c>
    </row>
    <row r="520" spans="1:19" ht="12.75">
      <c r="A520" s="1">
        <f>DATE(1974,1,1)</f>
        <v>27030</v>
      </c>
      <c r="B520">
        <v>1974</v>
      </c>
      <c r="C520">
        <v>1</v>
      </c>
      <c r="D520">
        <v>7.76</v>
      </c>
      <c r="F520">
        <v>-0.20154858940508996</v>
      </c>
      <c r="I520">
        <v>0.11720698254364095</v>
      </c>
      <c r="J520" s="2">
        <v>53449.390103294965</v>
      </c>
      <c r="K520">
        <f t="shared" si="11"/>
        <v>0.3899999999999997</v>
      </c>
      <c r="L520" s="2">
        <v>0.002882240534238115</v>
      </c>
      <c r="Q520">
        <v>-0.3475174526015346</v>
      </c>
      <c r="R520">
        <f t="shared" si="12"/>
        <v>0.3899999999999997</v>
      </c>
      <c r="S520">
        <v>0.00037257523796981854</v>
      </c>
    </row>
    <row r="521" spans="1:19" ht="12.75">
      <c r="A521" s="1">
        <f>DATE(1974,2,1)</f>
        <v>27061</v>
      </c>
      <c r="B521">
        <v>1974</v>
      </c>
      <c r="C521">
        <v>2</v>
      </c>
      <c r="D521">
        <v>7.06</v>
      </c>
      <c r="F521">
        <v>-0.19593359984944705</v>
      </c>
      <c r="I521">
        <v>0.11471321695760604</v>
      </c>
      <c r="J521" s="2">
        <v>53454.68007039716</v>
      </c>
      <c r="K521">
        <f t="shared" si="11"/>
        <v>-0.7000000000000002</v>
      </c>
      <c r="L521" s="2">
        <v>-0.00864942680891839</v>
      </c>
      <c r="Q521">
        <v>-0.3476427771650181</v>
      </c>
      <c r="R521">
        <f t="shared" si="12"/>
        <v>-0.7000000000000002</v>
      </c>
      <c r="S521">
        <v>0.009357925236961674</v>
      </c>
    </row>
    <row r="522" spans="1:19" ht="12.75">
      <c r="A522" s="1">
        <f>DATE(1974,3,1)</f>
        <v>27089</v>
      </c>
      <c r="B522">
        <v>1974</v>
      </c>
      <c r="C522">
        <v>3</v>
      </c>
      <c r="D522">
        <v>7.99</v>
      </c>
      <c r="F522">
        <v>-0.18867082665435228</v>
      </c>
      <c r="I522">
        <v>0.11221945137157112</v>
      </c>
      <c r="J522" s="2">
        <v>53459.74253891415</v>
      </c>
      <c r="K522">
        <f t="shared" si="11"/>
        <v>0.9300000000000006</v>
      </c>
      <c r="L522" s="2">
        <v>-0.002481775569069978</v>
      </c>
      <c r="Q522">
        <v>-0.3473065355899786</v>
      </c>
      <c r="R522">
        <f t="shared" si="12"/>
        <v>0.9300000000000006</v>
      </c>
      <c r="S522">
        <v>0.005421955168631513</v>
      </c>
    </row>
    <row r="523" spans="1:19" ht="12.75">
      <c r="A523" s="1">
        <f>DATE(1974,4,1)</f>
        <v>27120</v>
      </c>
      <c r="B523">
        <v>1974</v>
      </c>
      <c r="C523">
        <v>4</v>
      </c>
      <c r="D523">
        <v>8.23</v>
      </c>
      <c r="F523">
        <v>-0.18091409445814163</v>
      </c>
      <c r="I523">
        <v>0.10972568578553621</v>
      </c>
      <c r="J523" s="2">
        <v>53464.582508814834</v>
      </c>
      <c r="K523">
        <f t="shared" si="11"/>
        <v>0.2400000000000002</v>
      </c>
      <c r="L523" s="2">
        <v>-0.012683777979940565</v>
      </c>
      <c r="Q523">
        <v>-0.3469221633717778</v>
      </c>
      <c r="R523">
        <f t="shared" si="12"/>
        <v>0.2400000000000002</v>
      </c>
      <c r="S523">
        <v>0.0035006899970857685</v>
      </c>
    </row>
    <row r="524" spans="1:19" ht="12.75">
      <c r="A524" s="1">
        <f>DATE(1974,5,1)</f>
        <v>27150</v>
      </c>
      <c r="B524">
        <v>1974</v>
      </c>
      <c r="C524">
        <v>5</v>
      </c>
      <c r="D524">
        <v>8.43</v>
      </c>
      <c r="F524">
        <v>-0.1726831738094761</v>
      </c>
      <c r="I524">
        <v>0.1072319201995013</v>
      </c>
      <c r="J524" s="2">
        <v>53469.20498006812</v>
      </c>
      <c r="K524">
        <f t="shared" si="11"/>
        <v>0.1999999999999993</v>
      </c>
      <c r="L524" s="2">
        <v>-0.007365408649227658</v>
      </c>
      <c r="Q524">
        <v>-0.34652192743548144</v>
      </c>
      <c r="R524">
        <f t="shared" si="12"/>
        <v>0.1999999999999993</v>
      </c>
      <c r="S524">
        <v>0.0019551558448645564</v>
      </c>
    </row>
    <row r="525" spans="1:19" ht="12.75">
      <c r="A525" s="1">
        <f>DATE(1974,6,1)</f>
        <v>27181</v>
      </c>
      <c r="B525">
        <v>1974</v>
      </c>
      <c r="C525">
        <v>6</v>
      </c>
      <c r="D525">
        <v>8.15</v>
      </c>
      <c r="F525">
        <v>-0.1648395511599566</v>
      </c>
      <c r="I525">
        <v>0.10473815461346637</v>
      </c>
      <c r="J525" s="2">
        <v>53473.614952642914</v>
      </c>
      <c r="K525">
        <f t="shared" si="11"/>
        <v>-0.27999999999999936</v>
      </c>
      <c r="L525" s="2">
        <v>-0.002846232063328265</v>
      </c>
      <c r="Q525">
        <v>-0.3463131542069253</v>
      </c>
      <c r="R525">
        <f t="shared" si="12"/>
        <v>-0.27999999999999936</v>
      </c>
      <c r="S525">
        <v>-0.001736536130630399</v>
      </c>
    </row>
    <row r="526" spans="1:19" ht="12.75">
      <c r="A526" s="1">
        <f>DATE(1974,7,1)</f>
        <v>27211</v>
      </c>
      <c r="B526">
        <v>1974</v>
      </c>
      <c r="C526">
        <v>7</v>
      </c>
      <c r="D526">
        <v>7.75</v>
      </c>
      <c r="F526">
        <v>-0.15774660759082676</v>
      </c>
      <c r="I526">
        <v>0.10224438902743146</v>
      </c>
      <c r="J526" s="2">
        <v>53477.817426508125</v>
      </c>
      <c r="K526">
        <f t="shared" si="11"/>
        <v>-0.40000000000000036</v>
      </c>
      <c r="L526" s="2">
        <v>-0.0030398507975707635</v>
      </c>
      <c r="Q526">
        <v>-0.34652817944429043</v>
      </c>
      <c r="R526">
        <f t="shared" si="12"/>
        <v>-0.40000000000000036</v>
      </c>
      <c r="S526">
        <v>0.006858028267445933</v>
      </c>
    </row>
    <row r="527" spans="1:19" ht="12.75">
      <c r="A527" s="1">
        <f>DATE(1974,8,1)</f>
        <v>27242</v>
      </c>
      <c r="B527">
        <v>1974</v>
      </c>
      <c r="C527">
        <v>8</v>
      </c>
      <c r="D527">
        <v>8.75</v>
      </c>
      <c r="F527">
        <v>-0.14896669056226045</v>
      </c>
      <c r="I527">
        <v>0.09975062344139657</v>
      </c>
      <c r="J527" s="2">
        <v>53481.81740163266</v>
      </c>
      <c r="K527">
        <f t="shared" si="11"/>
        <v>1</v>
      </c>
      <c r="L527" s="2">
        <v>0.0001391557702183842</v>
      </c>
      <c r="Q527">
        <v>-0.3462096751445596</v>
      </c>
      <c r="R527">
        <f t="shared" si="12"/>
        <v>1</v>
      </c>
      <c r="S527">
        <v>0.0031767580627290776</v>
      </c>
    </row>
    <row r="528" spans="1:19" ht="12.75">
      <c r="A528" s="1">
        <f>DATE(1974,9,1)</f>
        <v>27273</v>
      </c>
      <c r="B528">
        <v>1974</v>
      </c>
      <c r="C528">
        <v>9</v>
      </c>
      <c r="D528">
        <v>8.37</v>
      </c>
      <c r="F528">
        <v>-0.14086201757407607</v>
      </c>
      <c r="I528">
        <v>0.09725685785536164</v>
      </c>
      <c r="J528" s="2">
        <v>53485.61987798542</v>
      </c>
      <c r="K528">
        <f t="shared" si="11"/>
        <v>-0.3800000000000008</v>
      </c>
      <c r="L528" s="2">
        <v>-0.0073081581821325655</v>
      </c>
      <c r="Q528">
        <v>-0.34613625778094065</v>
      </c>
      <c r="R528">
        <f t="shared" si="12"/>
        <v>-0.3800000000000008</v>
      </c>
      <c r="S528">
        <v>-0.002831552888502495</v>
      </c>
    </row>
    <row r="529" spans="1:19" ht="12.75">
      <c r="A529" s="1">
        <f>DATE(1974,10,1)</f>
        <v>27303</v>
      </c>
      <c r="B529">
        <v>1974</v>
      </c>
      <c r="C529">
        <v>10</v>
      </c>
      <c r="D529">
        <v>7.24</v>
      </c>
      <c r="F529">
        <v>-0.13474255839859944</v>
      </c>
      <c r="I529">
        <v>0.09476309226932673</v>
      </c>
      <c r="J529" s="2">
        <v>53489.229855535305</v>
      </c>
      <c r="K529">
        <f t="shared" si="11"/>
        <v>-1.129999999999999</v>
      </c>
      <c r="L529" s="2">
        <v>-0.004006278076726728</v>
      </c>
      <c r="Q529">
        <v>-0.3467580550350346</v>
      </c>
      <c r="R529">
        <f t="shared" si="12"/>
        <v>-1.129999999999999</v>
      </c>
      <c r="S529">
        <v>-0.001865287293658921</v>
      </c>
    </row>
    <row r="530" spans="1:19" ht="12.75">
      <c r="A530" s="1">
        <f>DATE(1974,11,1)</f>
        <v>27334</v>
      </c>
      <c r="B530">
        <v>1974</v>
      </c>
      <c r="C530">
        <v>11</v>
      </c>
      <c r="D530">
        <v>7.59</v>
      </c>
      <c r="F530">
        <v>-0.1281031014946848</v>
      </c>
      <c r="I530">
        <v>0.09226932668329182</v>
      </c>
      <c r="J530" s="2">
        <v>53492.65233425123</v>
      </c>
      <c r="K530">
        <f t="shared" si="11"/>
        <v>0.34999999999999964</v>
      </c>
      <c r="L530" s="2">
        <v>-0.002316779609740208</v>
      </c>
      <c r="Q530">
        <v>-0.3471675748393758</v>
      </c>
      <c r="R530">
        <f t="shared" si="12"/>
        <v>0.34999999999999964</v>
      </c>
      <c r="S530">
        <v>0.0007795795502120069</v>
      </c>
    </row>
    <row r="531" spans="1:19" ht="12.75">
      <c r="A531" s="1">
        <f>DATE(1974,12,1)</f>
        <v>27364</v>
      </c>
      <c r="B531">
        <v>1974</v>
      </c>
      <c r="C531">
        <v>12</v>
      </c>
      <c r="D531">
        <v>7.18</v>
      </c>
      <c r="F531">
        <v>-0.12218959575054601</v>
      </c>
      <c r="I531">
        <v>0.0897755610972569</v>
      </c>
      <c r="J531" s="2">
        <v>53495.8923141021</v>
      </c>
      <c r="K531">
        <f t="shared" si="11"/>
        <v>-0.41000000000000014</v>
      </c>
      <c r="L531" s="2">
        <v>-0.0018124827217339498</v>
      </c>
      <c r="Q531">
        <v>-0.34784871359512426</v>
      </c>
      <c r="R531">
        <f t="shared" si="12"/>
        <v>-0.41000000000000014</v>
      </c>
      <c r="S531">
        <v>0.004296700349764334</v>
      </c>
    </row>
    <row r="532" spans="1:19" ht="12.75">
      <c r="A532" s="1">
        <f>DATE(1975,1,1)</f>
        <v>27395</v>
      </c>
      <c r="B532">
        <v>1975</v>
      </c>
      <c r="C532">
        <v>1</v>
      </c>
      <c r="D532">
        <v>6.49</v>
      </c>
      <c r="F532">
        <v>-0.11748869642776262</v>
      </c>
      <c r="I532">
        <v>0.08728179551122199</v>
      </c>
      <c r="J532" s="2">
        <v>53498.95479505682</v>
      </c>
      <c r="K532">
        <f t="shared" si="11"/>
        <v>-0.6899999999999995</v>
      </c>
      <c r="L532" s="2">
        <v>0.003969446756233386</v>
      </c>
      <c r="Q532">
        <v>-0.3487576374572644</v>
      </c>
      <c r="R532">
        <f t="shared" si="12"/>
        <v>-0.6899999999999995</v>
      </c>
      <c r="S532">
        <v>-0.01039649316879494</v>
      </c>
    </row>
    <row r="533" spans="1:19" ht="12.75">
      <c r="A533" s="1">
        <f>DATE(1975,2,1)</f>
        <v>27426</v>
      </c>
      <c r="B533">
        <v>1975</v>
      </c>
      <c r="C533">
        <v>2</v>
      </c>
      <c r="D533">
        <v>5.59</v>
      </c>
      <c r="F533">
        <v>-0.11436304079549835</v>
      </c>
      <c r="I533">
        <v>0.08478802992518708</v>
      </c>
      <c r="J533" s="2">
        <v>53501.8447770843</v>
      </c>
      <c r="K533">
        <f t="shared" si="11"/>
        <v>-0.9000000000000004</v>
      </c>
      <c r="L533" s="2">
        <v>0.003977078892950027</v>
      </c>
      <c r="Q533">
        <v>-0.3500587798651535</v>
      </c>
      <c r="R533">
        <f t="shared" si="12"/>
        <v>-0.9000000000000004</v>
      </c>
      <c r="S533">
        <v>-0.006633090010736603</v>
      </c>
    </row>
    <row r="534" spans="1:19" ht="12.75">
      <c r="A534" s="1">
        <f>DATE(1975,3,1)</f>
        <v>27454</v>
      </c>
      <c r="B534">
        <v>1975</v>
      </c>
      <c r="C534">
        <v>3</v>
      </c>
      <c r="D534">
        <v>5.55</v>
      </c>
      <c r="F534">
        <v>-0.11124006041127761</v>
      </c>
      <c r="I534">
        <v>0.08229426433915216</v>
      </c>
      <c r="J534" s="2">
        <v>53504.56726015343</v>
      </c>
      <c r="K534">
        <f t="shared" si="11"/>
        <v>-0.040000000000000036</v>
      </c>
      <c r="L534" s="2">
        <v>0.003151629456528119</v>
      </c>
      <c r="Q534">
        <v>-0.35128088708330285</v>
      </c>
      <c r="R534">
        <f t="shared" si="12"/>
        <v>-0.040000000000000036</v>
      </c>
      <c r="S534">
        <v>-0.006407096655730331</v>
      </c>
    </row>
    <row r="535" spans="1:19" ht="12.75">
      <c r="A535" s="1">
        <f>DATE(1975,4,1)</f>
        <v>27485</v>
      </c>
      <c r="B535">
        <v>1975</v>
      </c>
      <c r="C535">
        <v>4</v>
      </c>
      <c r="D535">
        <v>5.69</v>
      </c>
      <c r="F535">
        <v>-0.10785581102414353</v>
      </c>
      <c r="I535">
        <v>0.07980049875311725</v>
      </c>
      <c r="J535" s="2">
        <v>53507.12724423313</v>
      </c>
      <c r="K535">
        <f t="shared" si="11"/>
        <v>0.14000000000000057</v>
      </c>
      <c r="L535" s="2">
        <v>-0.009736085971847774</v>
      </c>
      <c r="Q535">
        <v>-0.35231907280663427</v>
      </c>
      <c r="R535">
        <f t="shared" si="12"/>
        <v>0.14000000000000057</v>
      </c>
      <c r="S535">
        <v>-0.004721269908573123</v>
      </c>
    </row>
    <row r="536" spans="1:19" ht="12.75">
      <c r="A536" s="1">
        <f>DATE(1975,5,1)</f>
        <v>27515</v>
      </c>
      <c r="B536">
        <v>1975</v>
      </c>
      <c r="C536">
        <v>5</v>
      </c>
      <c r="D536">
        <v>5.32</v>
      </c>
      <c r="F536">
        <v>-0.10501695506663697</v>
      </c>
      <c r="I536">
        <v>0.07730673316708234</v>
      </c>
      <c r="J536" s="2">
        <v>53509.529729292306</v>
      </c>
      <c r="K536">
        <f t="shared" si="11"/>
        <v>-0.3700000000000001</v>
      </c>
      <c r="L536" s="2">
        <v>0.0016363661892329626</v>
      </c>
      <c r="Q536">
        <v>-0.3535085404192646</v>
      </c>
      <c r="R536">
        <f t="shared" si="12"/>
        <v>-0.3700000000000001</v>
      </c>
      <c r="S536">
        <v>-0.004693430866586989</v>
      </c>
    </row>
    <row r="537" spans="1:19" ht="12.75">
      <c r="A537" s="1">
        <f>DATE(1975,6,1)</f>
        <v>27546</v>
      </c>
      <c r="B537">
        <v>1975</v>
      </c>
      <c r="C537">
        <v>6</v>
      </c>
      <c r="D537">
        <v>5.2</v>
      </c>
      <c r="F537">
        <v>-0.10220942644643155</v>
      </c>
      <c r="I537">
        <v>0.07481296758104741</v>
      </c>
      <c r="J537" s="2">
        <v>53511.779715299854</v>
      </c>
      <c r="K537">
        <f t="shared" si="11"/>
        <v>-0.1200000000000001</v>
      </c>
      <c r="L537" s="2">
        <v>-0.0036098688583569676</v>
      </c>
      <c r="Q537">
        <v>-0.35459405937328153</v>
      </c>
      <c r="R537">
        <f t="shared" si="12"/>
        <v>-0.1200000000000001</v>
      </c>
      <c r="S537">
        <v>-0.009798798570828094</v>
      </c>
    </row>
    <row r="538" spans="1:19" ht="12.75">
      <c r="A538" s="1">
        <f>DATE(1975,7,1)</f>
        <v>27576</v>
      </c>
      <c r="B538">
        <v>1975</v>
      </c>
      <c r="C538">
        <v>7</v>
      </c>
      <c r="D538">
        <v>6.17</v>
      </c>
      <c r="F538">
        <v>-0.09732052184243621</v>
      </c>
      <c r="I538">
        <v>0.0723192019950125</v>
      </c>
      <c r="J538" s="2">
        <v>53513.88220222469</v>
      </c>
      <c r="K538">
        <f t="shared" si="11"/>
        <v>0.9699999999999998</v>
      </c>
      <c r="L538" s="2">
        <v>0.003813154986062684</v>
      </c>
      <c r="Q538">
        <v>-0.3550539568365303</v>
      </c>
      <c r="R538">
        <f t="shared" si="12"/>
        <v>0.9699999999999998</v>
      </c>
      <c r="S538">
        <v>0.00018882493181175634</v>
      </c>
    </row>
    <row r="539" spans="1:19" ht="12.75">
      <c r="A539" s="1">
        <f>DATE(1975,8,1)</f>
        <v>27607</v>
      </c>
      <c r="B539">
        <v>1975</v>
      </c>
      <c r="C539">
        <v>8</v>
      </c>
      <c r="D539">
        <v>6.46</v>
      </c>
      <c r="F539">
        <v>-0.09193344349866905</v>
      </c>
      <c r="I539">
        <v>0.06982543640897759</v>
      </c>
      <c r="J539" s="2">
        <v>53515.84219003571</v>
      </c>
      <c r="K539">
        <f t="shared" si="11"/>
        <v>0.29000000000000004</v>
      </c>
      <c r="L539" s="2">
        <v>-8.124017004296169E-05</v>
      </c>
      <c r="Q539">
        <v>-0.35532102965246787</v>
      </c>
      <c r="R539">
        <f t="shared" si="12"/>
        <v>0.29000000000000004</v>
      </c>
      <c r="S539">
        <v>0.0016771699038660758</v>
      </c>
    </row>
    <row r="540" spans="1:19" ht="12.75">
      <c r="A540" s="1">
        <f>DATE(1975,9,1)</f>
        <v>27638</v>
      </c>
      <c r="B540">
        <v>1975</v>
      </c>
      <c r="C540">
        <v>9</v>
      </c>
      <c r="D540">
        <v>6.38</v>
      </c>
      <c r="F540">
        <v>-0.08668379239345965</v>
      </c>
      <c r="I540">
        <v>0.06733167082294268</v>
      </c>
      <c r="J540" s="2">
        <v>53517.664678701825</v>
      </c>
      <c r="K540">
        <f t="shared" si="11"/>
        <v>-0.08000000000000007</v>
      </c>
      <c r="L540" s="2">
        <v>-0.005998651321352187</v>
      </c>
      <c r="Q540">
        <v>-0.35556016035236987</v>
      </c>
      <c r="R540">
        <f t="shared" si="12"/>
        <v>-0.08000000000000007</v>
      </c>
      <c r="S540">
        <v>-0.0016167153802127794</v>
      </c>
    </row>
    <row r="541" spans="1:19" ht="12.75">
      <c r="A541" s="1">
        <f>DATE(1975,10,1)</f>
        <v>27668</v>
      </c>
      <c r="B541">
        <v>1975</v>
      </c>
      <c r="C541">
        <v>10</v>
      </c>
      <c r="D541">
        <v>6.08</v>
      </c>
      <c r="F541">
        <v>-0.08194949343284176</v>
      </c>
      <c r="I541">
        <v>0.06483790523690776</v>
      </c>
      <c r="J541" s="2">
        <v>53519.35466819194</v>
      </c>
      <c r="K541">
        <f t="shared" si="11"/>
        <v>-0.2999999999999998</v>
      </c>
      <c r="L541" s="2">
        <v>-0.007316017267465604</v>
      </c>
      <c r="Q541">
        <v>-0.35586291909737283</v>
      </c>
      <c r="R541">
        <f t="shared" si="12"/>
        <v>-0.2999999999999998</v>
      </c>
      <c r="S541">
        <v>-0.006198800326420276</v>
      </c>
    </row>
    <row r="542" spans="1:19" ht="12.75">
      <c r="A542" s="1">
        <f>DATE(1975,11,1)</f>
        <v>27699</v>
      </c>
      <c r="B542">
        <v>1975</v>
      </c>
      <c r="C542">
        <v>11</v>
      </c>
      <c r="D542">
        <v>5.47</v>
      </c>
      <c r="F542">
        <v>-0.07826307716622663</v>
      </c>
      <c r="I542">
        <v>0.06234413965087285</v>
      </c>
      <c r="J542" s="2">
        <v>53520.917158474964</v>
      </c>
      <c r="K542">
        <f t="shared" si="11"/>
        <v>-0.6100000000000003</v>
      </c>
      <c r="L542" s="2">
        <v>0.004936782203653349</v>
      </c>
      <c r="Q542">
        <v>-0.35638753034678033</v>
      </c>
      <c r="R542">
        <f t="shared" si="12"/>
        <v>-0.6100000000000003</v>
      </c>
      <c r="S542">
        <v>-0.0076389524075045285</v>
      </c>
    </row>
    <row r="543" spans="1:19" ht="12.75">
      <c r="A543" s="1">
        <f>DATE(1975,12,1)</f>
        <v>27729</v>
      </c>
      <c r="B543">
        <v>1975</v>
      </c>
      <c r="C543">
        <v>12</v>
      </c>
      <c r="D543">
        <v>5.5</v>
      </c>
      <c r="F543">
        <v>-0.07452512568515235</v>
      </c>
      <c r="I543">
        <v>0.05985037406483793</v>
      </c>
      <c r="J543" s="2">
        <v>53522.3571495198</v>
      </c>
      <c r="K543">
        <f t="shared" si="11"/>
        <v>0.03000000000000025</v>
      </c>
      <c r="L543" s="2">
        <v>0.004042806082893457</v>
      </c>
      <c r="Q543">
        <v>-0.3567076123087332</v>
      </c>
      <c r="R543">
        <f t="shared" si="12"/>
        <v>0.03000000000000025</v>
      </c>
      <c r="S543">
        <v>-0.009000649603526268</v>
      </c>
    </row>
    <row r="544" spans="1:19" ht="12.75">
      <c r="A544" s="1">
        <f>DATE(1976,1,1)</f>
        <v>27760</v>
      </c>
      <c r="B544">
        <v>1976</v>
      </c>
      <c r="C544">
        <v>1</v>
      </c>
      <c r="D544">
        <v>4.96</v>
      </c>
      <c r="F544">
        <v>-0.07171480806434281</v>
      </c>
      <c r="I544">
        <v>0.05735660847880302</v>
      </c>
      <c r="J544" s="2">
        <v>53523.67964129535</v>
      </c>
      <c r="K544">
        <f t="shared" si="11"/>
        <v>-0.54</v>
      </c>
      <c r="L544" s="2">
        <v>-0.0015667172923327442</v>
      </c>
      <c r="Q544">
        <v>-0.35725871692878935</v>
      </c>
      <c r="R544">
        <f t="shared" si="12"/>
        <v>-0.54</v>
      </c>
      <c r="S544">
        <v>-0.005881306745677581</v>
      </c>
    </row>
    <row r="545" spans="1:19" ht="12.75">
      <c r="A545" s="1">
        <f>DATE(1976,2,1)</f>
        <v>27791</v>
      </c>
      <c r="B545">
        <v>1976</v>
      </c>
      <c r="C545">
        <v>2</v>
      </c>
      <c r="D545">
        <v>4.85</v>
      </c>
      <c r="F545">
        <v>-0.06909345289655018</v>
      </c>
      <c r="I545">
        <v>0.054862842892768104</v>
      </c>
      <c r="J545" s="2">
        <v>53524.88963377052</v>
      </c>
      <c r="K545">
        <f t="shared" si="11"/>
        <v>-0.11000000000000032</v>
      </c>
      <c r="L545" s="2">
        <v>-0.003876914489127229</v>
      </c>
      <c r="Q545">
        <v>-0.3577926651203638</v>
      </c>
      <c r="R545">
        <f t="shared" si="12"/>
        <v>-0.11000000000000032</v>
      </c>
      <c r="S545">
        <v>-0.004447588280907682</v>
      </c>
    </row>
    <row r="546" spans="1:19" ht="12.75">
      <c r="A546" s="1">
        <f>DATE(1976,3,1)</f>
        <v>27820</v>
      </c>
      <c r="B546">
        <v>1976</v>
      </c>
      <c r="C546">
        <v>3</v>
      </c>
      <c r="D546">
        <v>5.05</v>
      </c>
      <c r="F546">
        <v>-0.0661285296323632</v>
      </c>
      <c r="I546">
        <v>0.05236907730673319</v>
      </c>
      <c r="J546" s="2">
        <v>53525.99212691422</v>
      </c>
      <c r="K546">
        <f t="shared" si="11"/>
        <v>0.20000000000000018</v>
      </c>
      <c r="L546" s="2">
        <v>0.005920598618774643</v>
      </c>
      <c r="Q546">
        <v>-0.35806314125899313</v>
      </c>
      <c r="R546">
        <f t="shared" si="12"/>
        <v>0.20000000000000018</v>
      </c>
      <c r="S546">
        <v>-0.007915625975178127</v>
      </c>
    </row>
    <row r="547" spans="1:19" ht="12.75">
      <c r="A547" s="1">
        <f>DATE(1976,4,1)</f>
        <v>27851</v>
      </c>
      <c r="B547">
        <v>1976</v>
      </c>
      <c r="C547">
        <v>4</v>
      </c>
      <c r="D547">
        <v>4.88</v>
      </c>
      <c r="F547">
        <v>-0.06345563925011141</v>
      </c>
      <c r="I547">
        <v>0.049875311720698284</v>
      </c>
      <c r="J547" s="2">
        <v>53526.99212069535</v>
      </c>
      <c r="K547">
        <f t="shared" si="11"/>
        <v>-0.16999999999999993</v>
      </c>
      <c r="L547" s="2">
        <v>0.005026862274866326</v>
      </c>
      <c r="Q547">
        <v>-0.3584263154158997</v>
      </c>
      <c r="R547">
        <f t="shared" si="12"/>
        <v>-0.16999999999999993</v>
      </c>
      <c r="S547">
        <v>-0.0012232329117670845</v>
      </c>
    </row>
    <row r="548" spans="1:19" ht="12.75">
      <c r="A548" s="1">
        <f>DATE(1976,5,1)</f>
        <v>27881</v>
      </c>
      <c r="B548">
        <v>1976</v>
      </c>
      <c r="C548">
        <v>5</v>
      </c>
      <c r="D548">
        <v>5.19</v>
      </c>
      <c r="F548">
        <v>-0.06025021831844838</v>
      </c>
      <c r="I548">
        <v>0.04738154613466337</v>
      </c>
      <c r="J548" s="2">
        <v>53527.89461508283</v>
      </c>
      <c r="K548">
        <f t="shared" si="11"/>
        <v>0.3100000000000005</v>
      </c>
      <c r="L548" s="2">
        <v>0.007434646397550068</v>
      </c>
      <c r="Q548">
        <v>-0.3586452782776283</v>
      </c>
      <c r="R548">
        <f t="shared" si="12"/>
        <v>0.3100000000000005</v>
      </c>
      <c r="S548">
        <v>0.0025420512989085767</v>
      </c>
    </row>
    <row r="549" spans="1:19" ht="12.75">
      <c r="A549" s="1">
        <f>DATE(1976,6,1)</f>
        <v>27912</v>
      </c>
      <c r="B549">
        <v>1976</v>
      </c>
      <c r="C549">
        <v>6</v>
      </c>
      <c r="D549">
        <v>5.45</v>
      </c>
      <c r="F549">
        <v>-0.056598158861472674</v>
      </c>
      <c r="I549">
        <v>0.04488778054862845</v>
      </c>
      <c r="J549" s="2">
        <v>53528.70461004555</v>
      </c>
      <c r="K549">
        <f t="shared" si="11"/>
        <v>0.2599999999999998</v>
      </c>
      <c r="L549" s="2">
        <v>0.009184002185827031</v>
      </c>
      <c r="Q549">
        <v>-0.35865362517009053</v>
      </c>
      <c r="R549">
        <f t="shared" si="12"/>
        <v>0.2599999999999998</v>
      </c>
      <c r="S549">
        <v>-0.0023165935601601236</v>
      </c>
    </row>
    <row r="550" spans="1:19" ht="12.75">
      <c r="A550" s="1">
        <f>DATE(1976,7,1)</f>
        <v>27942</v>
      </c>
      <c r="B550">
        <v>1976</v>
      </c>
      <c r="C550">
        <v>7</v>
      </c>
      <c r="D550">
        <v>5.28</v>
      </c>
      <c r="F550">
        <v>-0.053238132286432184</v>
      </c>
      <c r="I550">
        <v>0.04239401496259354</v>
      </c>
      <c r="J550" s="2">
        <v>53529.427105552415</v>
      </c>
      <c r="K550">
        <f t="shared" si="11"/>
        <v>-0.16999999999999993</v>
      </c>
      <c r="L550" s="2">
        <v>0.008267231865651033</v>
      </c>
      <c r="Q550">
        <v>-0.3588005441917265</v>
      </c>
      <c r="R550">
        <f t="shared" si="12"/>
        <v>-0.16999999999999993</v>
      </c>
      <c r="S550">
        <v>0.0023247447021230465</v>
      </c>
    </row>
    <row r="551" spans="1:19" ht="12.75">
      <c r="A551" s="1">
        <f>DATE(1976,8,1)</f>
        <v>27973</v>
      </c>
      <c r="B551">
        <v>1976</v>
      </c>
      <c r="C551">
        <v>8</v>
      </c>
      <c r="D551">
        <v>5.15</v>
      </c>
      <c r="F551">
        <v>-0.05010142497404803</v>
      </c>
      <c r="I551">
        <v>0.03990024937655862</v>
      </c>
      <c r="J551" s="2">
        <v>53530.06710157234</v>
      </c>
      <c r="K551">
        <f t="shared" si="11"/>
        <v>-0.1299999999999999</v>
      </c>
      <c r="L551" s="2">
        <v>0.0007551088700558463</v>
      </c>
      <c r="Q551">
        <v>-0.3591529968028174</v>
      </c>
      <c r="R551">
        <f t="shared" si="12"/>
        <v>-0.1299999999999999</v>
      </c>
      <c r="S551">
        <v>0.0059058808436391035</v>
      </c>
    </row>
    <row r="552" spans="1:19" ht="12.75">
      <c r="A552" s="1">
        <f>DATE(1976,9,1)</f>
        <v>28004</v>
      </c>
      <c r="B552">
        <v>1976</v>
      </c>
      <c r="C552">
        <v>9</v>
      </c>
      <c r="D552">
        <v>5.08</v>
      </c>
      <c r="F552">
        <v>-0.04708496649540189</v>
      </c>
      <c r="I552">
        <v>0.037406483790523706</v>
      </c>
      <c r="J552" s="2">
        <v>53530.62959807423</v>
      </c>
      <c r="K552">
        <f t="shared" si="11"/>
        <v>-0.07000000000000028</v>
      </c>
      <c r="L552" s="2">
        <v>0.0069896655507593435</v>
      </c>
      <c r="Q552">
        <v>-0.359607274971032</v>
      </c>
      <c r="R552">
        <f t="shared" si="12"/>
        <v>-0.07000000000000028</v>
      </c>
      <c r="S552">
        <v>0.004967918472598842</v>
      </c>
    </row>
    <row r="553" spans="1:19" ht="12.75">
      <c r="A553" s="1">
        <f>DATE(1976,10,1)</f>
        <v>28034</v>
      </c>
      <c r="B553">
        <v>1976</v>
      </c>
      <c r="C553">
        <v>10</v>
      </c>
      <c r="D553">
        <v>4.93</v>
      </c>
      <c r="F553">
        <v>-0.044326184089051514</v>
      </c>
      <c r="I553">
        <v>0.034912718204488796</v>
      </c>
      <c r="J553" s="2">
        <v>53531.11959502698</v>
      </c>
      <c r="K553">
        <f t="shared" si="11"/>
        <v>-0.15000000000000036</v>
      </c>
      <c r="L553" s="2">
        <v>0.004414700814993721</v>
      </c>
      <c r="Q553">
        <v>-0.3601900328902053</v>
      </c>
      <c r="R553">
        <f t="shared" si="12"/>
        <v>-0.15000000000000036</v>
      </c>
      <c r="S553">
        <v>0.0019183102545797508</v>
      </c>
    </row>
    <row r="554" spans="1:19" ht="12.75">
      <c r="A554" s="1">
        <f>DATE(1976,11,1)</f>
        <v>28065</v>
      </c>
      <c r="B554">
        <v>1976</v>
      </c>
      <c r="C554">
        <v>11</v>
      </c>
      <c r="D554">
        <v>4.81</v>
      </c>
      <c r="F554">
        <v>-0.04177354254053774</v>
      </c>
      <c r="I554">
        <v>0.03241895261845388</v>
      </c>
      <c r="J554" s="2">
        <v>53531.54209239951</v>
      </c>
      <c r="K554">
        <f t="shared" si="11"/>
        <v>-0.1200000000000001</v>
      </c>
      <c r="L554" s="2">
        <v>0.003922115543399284</v>
      </c>
      <c r="Q554">
        <v>-0.36088600195387144</v>
      </c>
      <c r="R554">
        <f t="shared" si="12"/>
        <v>-0.1200000000000001</v>
      </c>
      <c r="S554">
        <v>0.002202506375749238</v>
      </c>
    </row>
    <row r="555" spans="1:19" ht="12.75">
      <c r="A555" s="1">
        <f>DATE(1976,12,1)</f>
        <v>28095</v>
      </c>
      <c r="B555">
        <v>1976</v>
      </c>
      <c r="C555">
        <v>12</v>
      </c>
      <c r="D555">
        <v>4.36</v>
      </c>
      <c r="F555">
        <v>-0.039993929208911254</v>
      </c>
      <c r="I555">
        <v>0.029925187032418966</v>
      </c>
      <c r="J555" s="2">
        <v>53531.90209016072</v>
      </c>
      <c r="K555">
        <f t="shared" si="11"/>
        <v>-0.4499999999999993</v>
      </c>
      <c r="L555" s="2">
        <v>4.364142138241322E-06</v>
      </c>
      <c r="Q555">
        <v>-0.36189338589706</v>
      </c>
      <c r="R555">
        <f t="shared" si="12"/>
        <v>-0.4499999999999993</v>
      </c>
      <c r="S555">
        <v>0.0012703062685125942</v>
      </c>
    </row>
    <row r="556" spans="1:19" ht="12.75">
      <c r="A556" s="1">
        <f>DATE(1977,1,1)</f>
        <v>28126</v>
      </c>
      <c r="B556">
        <v>1977</v>
      </c>
      <c r="C556">
        <v>1</v>
      </c>
      <c r="D556">
        <v>4.6</v>
      </c>
      <c r="F556">
        <v>-0.03780203416161155</v>
      </c>
      <c r="I556">
        <v>0.027431421446384052</v>
      </c>
      <c r="J556" s="2">
        <v>53532.204588279514</v>
      </c>
      <c r="K556">
        <f t="shared" si="11"/>
        <v>0.23999999999999932</v>
      </c>
      <c r="L556" s="2">
        <v>-0.0036549826058697777</v>
      </c>
      <c r="Q556">
        <v>-0.36281497373229976</v>
      </c>
      <c r="R556">
        <f t="shared" si="12"/>
        <v>0.23999999999999932</v>
      </c>
      <c r="S556">
        <v>0.003594366365222757</v>
      </c>
    </row>
    <row r="557" spans="1:19" ht="12.75">
      <c r="A557" s="1">
        <f>DATE(1977,2,1)</f>
        <v>28157</v>
      </c>
      <c r="B557">
        <v>1977</v>
      </c>
      <c r="C557">
        <v>2</v>
      </c>
      <c r="D557">
        <v>4.66</v>
      </c>
      <c r="F557">
        <v>-0.03550706868539354</v>
      </c>
      <c r="I557">
        <v>0.02493765586034914</v>
      </c>
      <c r="J557" s="2">
        <v>53532.454586724794</v>
      </c>
      <c r="K557">
        <f t="shared" si="11"/>
        <v>0.0600000000000005</v>
      </c>
      <c r="L557" s="2">
        <v>-0.002815634964132358</v>
      </c>
      <c r="Q557">
        <v>-0.3636524196380939</v>
      </c>
      <c r="R557">
        <f t="shared" si="12"/>
        <v>0.0600000000000005</v>
      </c>
      <c r="S557">
        <v>-0.002490156993496982</v>
      </c>
    </row>
    <row r="558" spans="1:19" ht="12.75">
      <c r="A558" s="1">
        <f>DATE(1977,3,1)</f>
        <v>28185</v>
      </c>
      <c r="B558">
        <v>1977</v>
      </c>
      <c r="C558">
        <v>3</v>
      </c>
      <c r="D558">
        <v>4.61</v>
      </c>
      <c r="F558">
        <v>-0.03329799523327412</v>
      </c>
      <c r="I558">
        <v>0.022443890274314225</v>
      </c>
      <c r="J558" s="2">
        <v>53532.65708546547</v>
      </c>
      <c r="K558">
        <f aca="true" t="shared" si="13" ref="K558:K621">D558-D557</f>
        <v>-0.04999999999999982</v>
      </c>
      <c r="L558" s="2">
        <v>0.005727073084406685</v>
      </c>
      <c r="Q558">
        <v>-0.36441466459360256</v>
      </c>
      <c r="R558">
        <f t="shared" si="12"/>
        <v>-0.04999999999999982</v>
      </c>
      <c r="S558">
        <v>-0.005642251775894952</v>
      </c>
    </row>
    <row r="559" spans="1:19" ht="12.75">
      <c r="A559" s="1">
        <f>DATE(1977,4,1)</f>
        <v>28216</v>
      </c>
      <c r="B559">
        <v>1977</v>
      </c>
      <c r="C559">
        <v>4</v>
      </c>
      <c r="D559">
        <v>4.54</v>
      </c>
      <c r="F559">
        <v>-0.03120917061489272</v>
      </c>
      <c r="I559">
        <v>0.019950124688279308</v>
      </c>
      <c r="J559" s="2">
        <v>53532.81708447045</v>
      </c>
      <c r="K559">
        <f t="shared" si="13"/>
        <v>-0.07000000000000028</v>
      </c>
      <c r="L559" s="2">
        <v>0.004827005751700892</v>
      </c>
      <c r="Q559">
        <v>-0.3652095101907697</v>
      </c>
      <c r="R559">
        <f t="shared" si="12"/>
        <v>-0.07000000000000028</v>
      </c>
      <c r="S559">
        <v>-0.0007625866112622709</v>
      </c>
    </row>
    <row r="560" spans="1:19" ht="12.75">
      <c r="A560" s="1">
        <f>DATE(1977,5,1)</f>
        <v>28246</v>
      </c>
      <c r="B560">
        <v>1977</v>
      </c>
      <c r="C560">
        <v>5</v>
      </c>
      <c r="D560">
        <v>4.94</v>
      </c>
      <c r="F560">
        <v>-0.02843320980372262</v>
      </c>
      <c r="I560">
        <v>0.017456359102244395</v>
      </c>
      <c r="J560" s="2">
        <v>53532.93958370864</v>
      </c>
      <c r="K560">
        <f t="shared" si="13"/>
        <v>0.40000000000000036</v>
      </c>
      <c r="L560" s="2">
        <v>0.0015363775070923512</v>
      </c>
      <c r="Q560">
        <v>-0.36563618355068067</v>
      </c>
      <c r="R560">
        <f t="shared" si="12"/>
        <v>0.40000000000000036</v>
      </c>
      <c r="S560">
        <v>-0.006549820487639134</v>
      </c>
    </row>
    <row r="561" spans="1:19" ht="12.75">
      <c r="A561" s="1">
        <f>DATE(1977,6,1)</f>
        <v>28277</v>
      </c>
      <c r="B561">
        <v>1977</v>
      </c>
      <c r="C561">
        <v>6</v>
      </c>
      <c r="D561">
        <v>5</v>
      </c>
      <c r="F561">
        <v>-0.02555417856363422</v>
      </c>
      <c r="I561">
        <v>0.014962593516209481</v>
      </c>
      <c r="J561" s="2">
        <v>53533.02958314894</v>
      </c>
      <c r="K561">
        <f t="shared" si="13"/>
        <v>0.05999999999999961</v>
      </c>
      <c r="L561" s="2">
        <v>-0.002415301218777246</v>
      </c>
      <c r="Q561">
        <v>-0.3659479518057513</v>
      </c>
      <c r="R561">
        <f t="shared" si="12"/>
        <v>0.05999999999999961</v>
      </c>
      <c r="S561">
        <v>-0.0038772163318667578</v>
      </c>
    </row>
    <row r="562" spans="1:19" ht="12.75">
      <c r="A562" s="1">
        <f>DATE(1977,7,1)</f>
        <v>28307</v>
      </c>
      <c r="B562">
        <v>1977</v>
      </c>
      <c r="C562">
        <v>7</v>
      </c>
      <c r="D562">
        <v>5.14</v>
      </c>
      <c r="F562">
        <v>-0.02243464965606977</v>
      </c>
      <c r="I562">
        <v>0.012468827930174566</v>
      </c>
      <c r="J562" s="2">
        <v>53533.09208276026</v>
      </c>
      <c r="K562">
        <f t="shared" si="13"/>
        <v>0.13999999999999968</v>
      </c>
      <c r="L562" s="2">
        <v>-0.00239535027133582</v>
      </c>
      <c r="Q562">
        <v>-0.36610426177629846</v>
      </c>
      <c r="R562">
        <f t="shared" si="12"/>
        <v>0.13999999999999968</v>
      </c>
      <c r="S562">
        <v>-0.0035083327986768424</v>
      </c>
    </row>
    <row r="563" spans="1:19" ht="12.75">
      <c r="A563" s="1">
        <f>DATE(1977,8,1)</f>
        <v>28338</v>
      </c>
      <c r="B563">
        <v>1977</v>
      </c>
      <c r="C563">
        <v>8</v>
      </c>
      <c r="D563">
        <v>5.5</v>
      </c>
      <c r="F563">
        <v>-0.018696698174995495</v>
      </c>
      <c r="I563">
        <v>0.009975062344139652</v>
      </c>
      <c r="J563" s="2">
        <v>53533.1320825115</v>
      </c>
      <c r="K563">
        <f t="shared" si="13"/>
        <v>0.3600000000000003</v>
      </c>
      <c r="L563" s="2">
        <v>-0.0003001581705806663</v>
      </c>
      <c r="Q563">
        <v>-0.3660239119976183</v>
      </c>
      <c r="R563">
        <f t="shared" si="12"/>
        <v>0.3600000000000003</v>
      </c>
      <c r="S563">
        <v>-0.00035450055359299517</v>
      </c>
    </row>
    <row r="564" spans="1:19" ht="12.75">
      <c r="A564" s="1">
        <f>DATE(1977,9,1)</f>
        <v>28369</v>
      </c>
      <c r="B564">
        <v>1977</v>
      </c>
      <c r="C564">
        <v>9</v>
      </c>
      <c r="D564">
        <v>5.77</v>
      </c>
      <c r="F564">
        <v>-0.014494929763788855</v>
      </c>
      <c r="I564">
        <v>0.007481296758104741</v>
      </c>
      <c r="J564" s="2">
        <v>53533.15458237158</v>
      </c>
      <c r="K564">
        <f t="shared" si="13"/>
        <v>0.2699999999999996</v>
      </c>
      <c r="L564" s="2">
        <v>0.005493358688724628</v>
      </c>
      <c r="Q564">
        <v>-0.36573706618420515</v>
      </c>
      <c r="R564">
        <f t="shared" si="12"/>
        <v>0.2699999999999996</v>
      </c>
      <c r="S564">
        <v>-0.0018305117403575</v>
      </c>
    </row>
    <row r="565" spans="1:19" ht="12.75">
      <c r="A565" s="1">
        <f>DATE(1977,10,1)</f>
        <v>28399</v>
      </c>
      <c r="B565">
        <v>1977</v>
      </c>
      <c r="C565">
        <v>10</v>
      </c>
      <c r="D565">
        <v>6.19</v>
      </c>
      <c r="I565">
        <v>0.004987531172069826</v>
      </c>
      <c r="J565" s="2">
        <v>53533.16458230939</v>
      </c>
      <c r="K565">
        <f t="shared" si="13"/>
        <v>0.4200000000000008</v>
      </c>
      <c r="L565" s="2">
        <v>-0.004337427359893269</v>
      </c>
      <c r="Q565">
        <v>-0.36510738595536907</v>
      </c>
      <c r="R565">
        <f t="shared" si="12"/>
        <v>0.4200000000000008</v>
      </c>
      <c r="S565">
        <v>-0.003262919881027119</v>
      </c>
    </row>
    <row r="566" spans="1:19" ht="12.75">
      <c r="A566" s="1">
        <f>DATE(1977,11,1)</f>
        <v>28430</v>
      </c>
      <c r="B566">
        <v>1977</v>
      </c>
      <c r="C566">
        <v>11</v>
      </c>
      <c r="D566">
        <v>6.16</v>
      </c>
      <c r="J566" s="2">
        <v>-0.34843315119740736</v>
      </c>
      <c r="K566">
        <f t="shared" si="13"/>
        <v>-0.03000000000000025</v>
      </c>
      <c r="L566" s="2">
        <v>-0.006445084610177783</v>
      </c>
      <c r="Q566">
        <v>-0.36437892599418686</v>
      </c>
      <c r="R566">
        <f t="shared" si="12"/>
        <v>-0.03000000000000025</v>
      </c>
      <c r="S566">
        <v>-0.005479093442656192</v>
      </c>
    </row>
    <row r="567" spans="1:19" ht="12.75">
      <c r="A567" s="1">
        <f>DATE(1977,12,1)</f>
        <v>28460</v>
      </c>
      <c r="B567">
        <v>1977</v>
      </c>
      <c r="C567">
        <v>12</v>
      </c>
      <c r="D567">
        <v>6.06</v>
      </c>
      <c r="J567" s="2">
        <v>-0.34919750821260587</v>
      </c>
      <c r="K567">
        <f t="shared" si="13"/>
        <v>-0.10000000000000053</v>
      </c>
      <c r="L567" s="2">
        <v>0.0020446646510767193</v>
      </c>
      <c r="Q567">
        <v>-0.36357924157119054</v>
      </c>
      <c r="R567">
        <f t="shared" si="12"/>
        <v>-0.10000000000000053</v>
      </c>
      <c r="S567">
        <v>-0.006451299801599957</v>
      </c>
    </row>
    <row r="568" spans="1:19" ht="12.75">
      <c r="A568" s="1">
        <f>DATE(1978,1,1)</f>
        <v>28491</v>
      </c>
      <c r="B568">
        <v>1978</v>
      </c>
      <c r="C568">
        <v>1</v>
      </c>
      <c r="D568">
        <v>6.45</v>
      </c>
      <c r="G568">
        <v>0.8842909658614584</v>
      </c>
      <c r="J568" s="2">
        <v>-0.3497399333984839</v>
      </c>
      <c r="K568">
        <f t="shared" si="13"/>
        <v>0.39000000000000057</v>
      </c>
      <c r="L568" s="2">
        <v>0.00829669204513309</v>
      </c>
      <c r="Q568">
        <v>-0.36246889379436725</v>
      </c>
      <c r="R568">
        <f t="shared" si="12"/>
        <v>0.39000000000000057</v>
      </c>
      <c r="S568">
        <v>-0.001577976002122514</v>
      </c>
    </row>
    <row r="569" spans="1:19" ht="12.75">
      <c r="A569" s="1">
        <f>DATE(1978,2,1)</f>
        <v>28522</v>
      </c>
      <c r="B569">
        <v>1978</v>
      </c>
      <c r="C569">
        <v>2</v>
      </c>
      <c r="D569">
        <v>6.46</v>
      </c>
      <c r="G569">
        <v>0.7191081271281717</v>
      </c>
      <c r="J569" s="2">
        <v>-0.3504175564008453</v>
      </c>
      <c r="K569">
        <f t="shared" si="13"/>
        <v>0.009999999999999787</v>
      </c>
      <c r="L569" s="2">
        <v>0.005285587514913823</v>
      </c>
      <c r="Q569">
        <v>-0.3613069795518812</v>
      </c>
      <c r="R569">
        <f t="shared" si="12"/>
        <v>0.009999999999999787</v>
      </c>
      <c r="S569">
        <v>-0.0010761835748606748</v>
      </c>
    </row>
    <row r="570" spans="1:19" ht="12.75">
      <c r="A570" s="1">
        <f>DATE(1978,3,1)</f>
        <v>28550</v>
      </c>
      <c r="B570">
        <v>1978</v>
      </c>
      <c r="C570">
        <v>3</v>
      </c>
      <c r="D570">
        <v>6.32</v>
      </c>
      <c r="G570">
        <v>0.5926693278712787</v>
      </c>
      <c r="J570" s="2">
        <v>-0.3513261512613613</v>
      </c>
      <c r="K570">
        <f t="shared" si="13"/>
        <v>-0.13999999999999968</v>
      </c>
      <c r="L570" s="2">
        <v>0.0042903562694654234</v>
      </c>
      <c r="Q570">
        <v>-0.3601917100189267</v>
      </c>
      <c r="R570">
        <f t="shared" si="12"/>
        <v>-0.13999999999999968</v>
      </c>
      <c r="S570">
        <v>-0.0014895673972543423</v>
      </c>
    </row>
    <row r="571" spans="1:19" ht="12.75">
      <c r="A571" s="1">
        <f>DATE(1978,4,1)</f>
        <v>28581</v>
      </c>
      <c r="B571">
        <v>1978</v>
      </c>
      <c r="C571">
        <v>4</v>
      </c>
      <c r="D571">
        <v>6.31</v>
      </c>
      <c r="G571">
        <v>0.501576723530078</v>
      </c>
      <c r="J571" s="2">
        <v>-0.3523668658136555</v>
      </c>
      <c r="K571">
        <f t="shared" si="13"/>
        <v>-0.010000000000000675</v>
      </c>
      <c r="L571" s="2">
        <v>0.0026226136492066405</v>
      </c>
      <c r="Q571">
        <v>-0.35911887865466124</v>
      </c>
      <c r="R571">
        <f t="shared" si="12"/>
        <v>-0.010000000000000675</v>
      </c>
      <c r="S571">
        <v>0.0019320735535634434</v>
      </c>
    </row>
    <row r="572" spans="1:19" ht="12.75">
      <c r="A572" s="1">
        <f>DATE(1978,5,1)</f>
        <v>28611</v>
      </c>
      <c r="B572">
        <v>1978</v>
      </c>
      <c r="C572">
        <v>5</v>
      </c>
      <c r="D572">
        <v>6.43</v>
      </c>
      <c r="G572">
        <v>0.4276314787014978</v>
      </c>
      <c r="J572" s="2">
        <v>-0.3533204284410214</v>
      </c>
      <c r="K572">
        <f t="shared" si="13"/>
        <v>0.1200000000000001</v>
      </c>
      <c r="L572" s="2">
        <v>-0.0019266868814172768</v>
      </c>
      <c r="Q572">
        <v>-0.35807682223674814</v>
      </c>
      <c r="R572">
        <f t="shared" si="12"/>
        <v>0.1200000000000001</v>
      </c>
      <c r="S572">
        <v>0.00560404954557304</v>
      </c>
    </row>
    <row r="573" spans="1:19" ht="12.75">
      <c r="A573" s="1">
        <f>DATE(1978,6,1)</f>
        <v>28642</v>
      </c>
      <c r="B573">
        <v>1978</v>
      </c>
      <c r="C573">
        <v>6</v>
      </c>
      <c r="D573">
        <v>6.71</v>
      </c>
      <c r="G573">
        <v>0.3568789838537567</v>
      </c>
      <c r="J573" s="2">
        <v>-0.3542324954520479</v>
      </c>
      <c r="K573">
        <f t="shared" si="13"/>
        <v>0.28000000000000025</v>
      </c>
      <c r="L573" s="2">
        <v>0.005789745736908585</v>
      </c>
      <c r="Q573">
        <v>-0.3568273870222157</v>
      </c>
      <c r="R573">
        <f t="shared" si="12"/>
        <v>0.28000000000000025</v>
      </c>
      <c r="S573">
        <v>-0.0016406438181233462</v>
      </c>
    </row>
    <row r="574" spans="1:19" ht="12.75">
      <c r="A574" s="1">
        <f>DATE(1978,7,1)</f>
        <v>28672</v>
      </c>
      <c r="B574">
        <v>1978</v>
      </c>
      <c r="C574">
        <v>7</v>
      </c>
      <c r="D574">
        <v>7.08</v>
      </c>
      <c r="G574">
        <v>0.32815863881534685</v>
      </c>
      <c r="J574" s="2">
        <v>-0.35502810444051636</v>
      </c>
      <c r="K574">
        <f t="shared" si="13"/>
        <v>0.3700000000000001</v>
      </c>
      <c r="L574" s="2">
        <v>0.005012984200088651</v>
      </c>
      <c r="Q574">
        <v>-0.35534277591720476</v>
      </c>
      <c r="R574">
        <f t="shared" si="12"/>
        <v>0.3700000000000001</v>
      </c>
      <c r="S574">
        <v>0.0001730031239948675</v>
      </c>
    </row>
    <row r="575" spans="1:19" ht="12.75">
      <c r="A575" s="1">
        <f>DATE(1978,8,1)</f>
        <v>28703</v>
      </c>
      <c r="B575">
        <v>1978</v>
      </c>
      <c r="C575">
        <v>8</v>
      </c>
      <c r="D575">
        <v>7.04</v>
      </c>
      <c r="G575">
        <v>0.33824532630194376</v>
      </c>
      <c r="J575" s="2">
        <v>-0.35586000278968843</v>
      </c>
      <c r="K575">
        <f t="shared" si="13"/>
        <v>-0.040000000000000036</v>
      </c>
      <c r="L575" s="2">
        <v>-0.0019944547184139153</v>
      </c>
      <c r="Q575">
        <v>-0.3539833606258909</v>
      </c>
      <c r="R575">
        <f aca="true" t="shared" si="14" ref="R575:R638">D575-D574</f>
        <v>-0.040000000000000036</v>
      </c>
      <c r="S575">
        <v>0.00560273243062223</v>
      </c>
    </row>
    <row r="576" spans="1:19" ht="12.75">
      <c r="A576" s="1">
        <f>DATE(1978,9,1)</f>
        <v>28734</v>
      </c>
      <c r="B576">
        <v>1978</v>
      </c>
      <c r="C576">
        <v>9</v>
      </c>
      <c r="D576">
        <v>7.84</v>
      </c>
      <c r="G576">
        <v>0.3267700767101616</v>
      </c>
      <c r="J576" s="2">
        <v>-0.3560428099221939</v>
      </c>
      <c r="K576">
        <f t="shared" si="13"/>
        <v>0.7999999999999998</v>
      </c>
      <c r="L576" s="2">
        <v>-0.0035664416830577363</v>
      </c>
      <c r="Q576">
        <v>-0.35226681848409724</v>
      </c>
      <c r="R576">
        <f t="shared" si="14"/>
        <v>0.7999999999999998</v>
      </c>
      <c r="S576">
        <v>0.008507488461211153</v>
      </c>
    </row>
    <row r="577" spans="1:19" ht="12.75">
      <c r="A577" s="1">
        <f>DATE(1978,10,1)</f>
        <v>28764</v>
      </c>
      <c r="B577">
        <v>1978</v>
      </c>
      <c r="C577">
        <v>10</v>
      </c>
      <c r="D577">
        <v>8.13</v>
      </c>
      <c r="G577">
        <v>0.27746889386982315</v>
      </c>
      <c r="J577" s="2">
        <v>-0.3560330670200142</v>
      </c>
      <c r="K577">
        <f t="shared" si="13"/>
        <v>0.2900000000000009</v>
      </c>
      <c r="L577" s="2">
        <v>0.0009392678029743378</v>
      </c>
      <c r="Q577">
        <v>-0.3504157022284848</v>
      </c>
      <c r="R577">
        <f t="shared" si="14"/>
        <v>0.2900000000000009</v>
      </c>
      <c r="S577">
        <v>0.003146320190078496</v>
      </c>
    </row>
    <row r="578" spans="1:19" ht="12.75">
      <c r="A578" s="1">
        <f>DATE(1978,11,1)</f>
        <v>28795</v>
      </c>
      <c r="B578">
        <v>1978</v>
      </c>
      <c r="C578">
        <v>11</v>
      </c>
      <c r="D578">
        <v>8.79</v>
      </c>
      <c r="G578">
        <v>0.22384541197983793</v>
      </c>
      <c r="J578" s="2">
        <v>-0.35558713478479725</v>
      </c>
      <c r="K578">
        <f t="shared" si="13"/>
        <v>0.6599999999999984</v>
      </c>
      <c r="L578" s="2">
        <v>0.0047786913131873</v>
      </c>
      <c r="Q578">
        <v>-0.3481299724319091</v>
      </c>
      <c r="R578">
        <f t="shared" si="14"/>
        <v>0.6599999999999984</v>
      </c>
      <c r="S578">
        <v>-0.0009059106352402447</v>
      </c>
    </row>
    <row r="579" spans="1:19" ht="12.75">
      <c r="A579" s="1">
        <f>DATE(1978,12,1)</f>
        <v>28825</v>
      </c>
      <c r="B579">
        <v>1978</v>
      </c>
      <c r="C579">
        <v>12</v>
      </c>
      <c r="D579">
        <v>9.12</v>
      </c>
      <c r="G579">
        <v>0.18889105848002266</v>
      </c>
      <c r="J579" s="2">
        <v>-0.3546898661058674</v>
      </c>
      <c r="K579">
        <f t="shared" si="13"/>
        <v>0.33000000000000007</v>
      </c>
      <c r="L579" s="2">
        <v>-0.00901856040728161</v>
      </c>
      <c r="Q579">
        <v>-0.3457899879824634</v>
      </c>
      <c r="R579">
        <f t="shared" si="14"/>
        <v>0.33000000000000007</v>
      </c>
      <c r="S579">
        <v>0.007743902496040841</v>
      </c>
    </row>
    <row r="580" spans="1:19" ht="12.75">
      <c r="A580" s="1">
        <f>DATE(1979,1,1)</f>
        <v>28856</v>
      </c>
      <c r="B580">
        <v>1979</v>
      </c>
      <c r="C580">
        <v>1</v>
      </c>
      <c r="D580">
        <v>9.35</v>
      </c>
      <c r="G580">
        <v>0.18929369434747212</v>
      </c>
      <c r="J580" s="2">
        <v>-0.35344158717322155</v>
      </c>
      <c r="K580">
        <f t="shared" si="13"/>
        <v>0.23000000000000043</v>
      </c>
      <c r="L580" s="2">
        <v>-0.006035293142546111</v>
      </c>
      <c r="Q580">
        <v>-0.3434868228056865</v>
      </c>
      <c r="R580">
        <f t="shared" si="14"/>
        <v>0.23000000000000043</v>
      </c>
      <c r="S580">
        <v>0.008704361675736585</v>
      </c>
    </row>
    <row r="581" spans="1:19" ht="12.75">
      <c r="A581" s="1">
        <f>DATE(1979,2,1)</f>
        <v>28887</v>
      </c>
      <c r="B581">
        <v>1979</v>
      </c>
      <c r="C581">
        <v>2</v>
      </c>
      <c r="D581">
        <v>9.27</v>
      </c>
      <c r="G581">
        <v>0.17651796614816592</v>
      </c>
      <c r="J581" s="2">
        <v>-0.3521135897715601</v>
      </c>
      <c r="K581">
        <f t="shared" si="13"/>
        <v>-0.08000000000000007</v>
      </c>
      <c r="L581" s="2">
        <v>-0.006770495191577151</v>
      </c>
      <c r="Q581">
        <v>-0.34117811809706977</v>
      </c>
      <c r="R581">
        <f t="shared" si="14"/>
        <v>-0.08000000000000007</v>
      </c>
      <c r="S581">
        <v>-0.0007719952632845489</v>
      </c>
    </row>
    <row r="582" spans="1:19" ht="12.75">
      <c r="A582" s="1">
        <f>DATE(1979,3,1)</f>
        <v>28915</v>
      </c>
      <c r="B582">
        <v>1979</v>
      </c>
      <c r="C582">
        <v>3</v>
      </c>
      <c r="D582">
        <v>9.46</v>
      </c>
      <c r="G582">
        <v>0.140769092858991</v>
      </c>
      <c r="J582" s="2">
        <v>-0.3505618507139717</v>
      </c>
      <c r="K582">
        <f t="shared" si="13"/>
        <v>0.19000000000000128</v>
      </c>
      <c r="L582" s="2">
        <v>-0.0035835968856674423</v>
      </c>
      <c r="Q582">
        <v>-0.3386872541454801</v>
      </c>
      <c r="R582">
        <f t="shared" si="14"/>
        <v>0.19000000000000128</v>
      </c>
      <c r="S582">
        <v>-0.002769117578014091</v>
      </c>
    </row>
    <row r="583" spans="1:19" ht="12.75">
      <c r="A583" s="1">
        <f>DATE(1979,4,1)</f>
        <v>28946</v>
      </c>
      <c r="B583">
        <v>1979</v>
      </c>
      <c r="C583">
        <v>4</v>
      </c>
      <c r="D583">
        <v>9.49</v>
      </c>
      <c r="G583">
        <v>0.11842322058786527</v>
      </c>
      <c r="J583" s="2">
        <v>-0.3488962735138584</v>
      </c>
      <c r="K583">
        <f t="shared" si="13"/>
        <v>0.02999999999999936</v>
      </c>
      <c r="L583" s="2">
        <v>-0.004179597473402465</v>
      </c>
      <c r="Q583">
        <v>-0.3362493096611787</v>
      </c>
      <c r="R583">
        <f t="shared" si="14"/>
        <v>0.02999999999999936</v>
      </c>
      <c r="S583">
        <v>0.003526481194570722</v>
      </c>
    </row>
    <row r="584" spans="1:19" ht="12.75">
      <c r="A584" s="1">
        <f>DATE(1979,5,1)</f>
        <v>28976</v>
      </c>
      <c r="B584">
        <v>1979</v>
      </c>
      <c r="C584">
        <v>5</v>
      </c>
      <c r="D584">
        <v>9.58</v>
      </c>
      <c r="G584">
        <v>0.08928119370969574</v>
      </c>
      <c r="J584" s="2">
        <v>-0.3469425115414174</v>
      </c>
      <c r="K584">
        <f t="shared" si="13"/>
        <v>0.08999999999999986</v>
      </c>
      <c r="L584" s="2">
        <v>-0.010190205927313638</v>
      </c>
      <c r="Q584">
        <v>-0.3339441290173359</v>
      </c>
      <c r="R584">
        <f t="shared" si="14"/>
        <v>0.08999999999999986</v>
      </c>
      <c r="S584">
        <v>0.010140548746625521</v>
      </c>
    </row>
    <row r="585" spans="1:19" ht="12.75">
      <c r="A585" s="1">
        <f>DATE(1979,6,1)</f>
        <v>29007</v>
      </c>
      <c r="B585">
        <v>1979</v>
      </c>
      <c r="C585">
        <v>6</v>
      </c>
      <c r="D585">
        <v>9.05</v>
      </c>
      <c r="G585">
        <v>0.029516367103915545</v>
      </c>
      <c r="J585" s="2">
        <v>-0.34537447670227117</v>
      </c>
      <c r="K585">
        <f t="shared" si="13"/>
        <v>-0.5299999999999994</v>
      </c>
      <c r="L585" s="2">
        <v>0.0006592863210492529</v>
      </c>
      <c r="Q585">
        <v>-0.3322109829637885</v>
      </c>
      <c r="R585">
        <f t="shared" si="14"/>
        <v>-0.5299999999999994</v>
      </c>
      <c r="S585">
        <v>0.0118085773681997</v>
      </c>
    </row>
    <row r="586" spans="1:19" ht="12.75">
      <c r="A586" s="1">
        <f>DATE(1979,7,1)</f>
        <v>29037</v>
      </c>
      <c r="B586">
        <v>1979</v>
      </c>
      <c r="C586">
        <v>7</v>
      </c>
      <c r="D586">
        <v>9.27</v>
      </c>
      <c r="G586">
        <v>-0.05578892645619613</v>
      </c>
      <c r="J586" s="2">
        <v>-0.3436422227244347</v>
      </c>
      <c r="K586">
        <f t="shared" si="13"/>
        <v>0.21999999999999886</v>
      </c>
      <c r="L586" s="2">
        <v>0.0014839195833334636</v>
      </c>
      <c r="Q586">
        <v>-0.3302480421225088</v>
      </c>
      <c r="R586">
        <f t="shared" si="14"/>
        <v>0.21999999999999886</v>
      </c>
      <c r="S586">
        <v>-0.004338580494060532</v>
      </c>
    </row>
    <row r="587" spans="1:19" ht="12.75">
      <c r="A587" s="1">
        <f>DATE(1979,8,1)</f>
        <v>29068</v>
      </c>
      <c r="B587">
        <v>1979</v>
      </c>
      <c r="C587">
        <v>8</v>
      </c>
      <c r="D587">
        <v>9.45</v>
      </c>
      <c r="G587">
        <v>-0.13188985937889738</v>
      </c>
      <c r="J587" s="2">
        <v>-0.3417007219050855</v>
      </c>
      <c r="K587">
        <f t="shared" si="13"/>
        <v>0.17999999999999972</v>
      </c>
      <c r="L587" s="2">
        <v>-0.001536571440700563</v>
      </c>
      <c r="Q587">
        <v>-0.3280691042690683</v>
      </c>
      <c r="R587">
        <f t="shared" si="14"/>
        <v>0.17999999999999972</v>
      </c>
      <c r="S587">
        <v>-0.003850801498087299</v>
      </c>
    </row>
    <row r="588" spans="1:19" ht="12.75">
      <c r="A588" s="1">
        <f>DATE(1979,9,1)</f>
        <v>29099</v>
      </c>
      <c r="B588">
        <v>1979</v>
      </c>
      <c r="C588">
        <v>9</v>
      </c>
      <c r="D588">
        <v>10.18</v>
      </c>
      <c r="G588">
        <v>-0.14879526385300218</v>
      </c>
      <c r="J588" s="2">
        <v>-0.33910681092362455</v>
      </c>
      <c r="K588">
        <f t="shared" si="13"/>
        <v>0.7300000000000004</v>
      </c>
      <c r="L588" s="2">
        <v>-0.005096277708140078</v>
      </c>
      <c r="Q588">
        <v>-0.3255140871480625</v>
      </c>
      <c r="R588">
        <f t="shared" si="14"/>
        <v>0.7300000000000004</v>
      </c>
      <c r="S588">
        <v>0.0062830132657954625</v>
      </c>
    </row>
    <row r="589" spans="1:19" ht="12.75">
      <c r="A589" s="1">
        <f>DATE(1979,10,1)</f>
        <v>29129</v>
      </c>
      <c r="B589">
        <v>1979</v>
      </c>
      <c r="C589">
        <v>10</v>
      </c>
      <c r="D589">
        <v>11.47</v>
      </c>
      <c r="G589">
        <v>-0.13160061058281022</v>
      </c>
      <c r="J589" s="2">
        <v>-0.3353912731549869</v>
      </c>
      <c r="K589">
        <f t="shared" si="13"/>
        <v>1.290000000000001</v>
      </c>
      <c r="L589" s="2">
        <v>-0.007432464295882408</v>
      </c>
      <c r="Q589">
        <v>-0.322219646429926</v>
      </c>
      <c r="R589">
        <f t="shared" si="14"/>
        <v>1.290000000000001</v>
      </c>
      <c r="S589">
        <v>0.005613089598189059</v>
      </c>
    </row>
    <row r="590" spans="1:19" ht="12.75">
      <c r="A590" s="1">
        <f>DATE(1979,11,1)</f>
        <v>29160</v>
      </c>
      <c r="B590">
        <v>1979</v>
      </c>
      <c r="C590">
        <v>11</v>
      </c>
      <c r="D590">
        <v>11.87</v>
      </c>
      <c r="G590">
        <v>-0.12536190832587213</v>
      </c>
      <c r="J590" s="2">
        <v>-0.33118703998542076</v>
      </c>
      <c r="K590">
        <f t="shared" si="13"/>
        <v>0.3999999999999986</v>
      </c>
      <c r="L590" s="2">
        <v>-0.008207608988794685</v>
      </c>
      <c r="Q590">
        <v>-0.318657265403751</v>
      </c>
      <c r="R590">
        <f t="shared" si="14"/>
        <v>0.3999999999999986</v>
      </c>
      <c r="S590">
        <v>0.00013993811657634652</v>
      </c>
    </row>
    <row r="591" spans="1:19" ht="12.75">
      <c r="A591" s="1">
        <f>DATE(1979,12,1)</f>
        <v>29190</v>
      </c>
      <c r="B591">
        <v>1979</v>
      </c>
      <c r="C591">
        <v>12</v>
      </c>
      <c r="D591">
        <v>12.07</v>
      </c>
      <c r="G591">
        <v>-0.12411298745520655</v>
      </c>
      <c r="J591" s="2">
        <v>-0.326706445607711</v>
      </c>
      <c r="K591">
        <f t="shared" si="13"/>
        <v>0.20000000000000107</v>
      </c>
      <c r="L591" s="2">
        <v>-0.005560363684028748</v>
      </c>
      <c r="Q591">
        <v>-0.3149592702099706</v>
      </c>
      <c r="R591">
        <f t="shared" si="14"/>
        <v>0.20000000000000107</v>
      </c>
      <c r="S591">
        <v>-0.0009556517406257085</v>
      </c>
    </row>
    <row r="592" spans="1:19" ht="12.75">
      <c r="A592" s="1">
        <f>DATE(1980,1,1)</f>
        <v>29221</v>
      </c>
      <c r="B592">
        <v>1980</v>
      </c>
      <c r="C592">
        <v>1</v>
      </c>
      <c r="D592">
        <v>12.04</v>
      </c>
      <c r="G592">
        <v>-0.12115077444133662</v>
      </c>
      <c r="J592" s="2">
        <v>-0.32215390821172</v>
      </c>
      <c r="K592">
        <f t="shared" si="13"/>
        <v>-0.030000000000001137</v>
      </c>
      <c r="L592" s="2">
        <v>-0.0037803978508884023</v>
      </c>
      <c r="Q592">
        <v>-0.31127906998913724</v>
      </c>
      <c r="R592">
        <f t="shared" si="14"/>
        <v>-0.030000000000001137</v>
      </c>
      <c r="S592">
        <v>0.001446169140945343</v>
      </c>
    </row>
    <row r="593" spans="1:19" ht="12.75">
      <c r="A593" s="1">
        <f>DATE(1980,2,1)</f>
        <v>29252</v>
      </c>
      <c r="B593">
        <v>1980</v>
      </c>
      <c r="C593">
        <v>2</v>
      </c>
      <c r="D593">
        <v>12.82</v>
      </c>
      <c r="G593">
        <v>-0.11699365977936668</v>
      </c>
      <c r="J593" s="2">
        <v>-0.316883009079167</v>
      </c>
      <c r="K593">
        <f t="shared" si="13"/>
        <v>0.7800000000000011</v>
      </c>
      <c r="L593" s="2">
        <v>-0.007221067010336948</v>
      </c>
      <c r="Q593">
        <v>-0.3072304495429301</v>
      </c>
      <c r="R593">
        <f t="shared" si="14"/>
        <v>0.7800000000000011</v>
      </c>
      <c r="S593">
        <v>0.006239531775780824</v>
      </c>
    </row>
    <row r="594" spans="1:19" ht="12.75">
      <c r="A594" s="1">
        <f>DATE(1980,3,1)</f>
        <v>29281</v>
      </c>
      <c r="B594">
        <v>1980</v>
      </c>
      <c r="C594">
        <v>3</v>
      </c>
      <c r="D594">
        <v>15.53</v>
      </c>
      <c r="G594">
        <v>-0.09787789107716191</v>
      </c>
      <c r="J594" s="2">
        <v>-0.30962157356019154</v>
      </c>
      <c r="K594">
        <f t="shared" si="13"/>
        <v>2.709999999999999</v>
      </c>
      <c r="L594" s="2">
        <v>-0.0011477437639319894</v>
      </c>
      <c r="Q594">
        <v>-0.3013574276978065</v>
      </c>
      <c r="R594">
        <f t="shared" si="14"/>
        <v>2.709999999999999</v>
      </c>
      <c r="S594">
        <v>-0.0036873660147936165</v>
      </c>
    </row>
    <row r="595" spans="1:19" ht="12.75">
      <c r="A595" s="1">
        <f>DATE(1980,4,1)</f>
        <v>29312</v>
      </c>
      <c r="B595">
        <v>1980</v>
      </c>
      <c r="C595">
        <v>4</v>
      </c>
      <c r="D595">
        <v>14</v>
      </c>
      <c r="G595">
        <v>-0.10267143935101798</v>
      </c>
      <c r="J595" s="2">
        <v>-0.30350810780301046</v>
      </c>
      <c r="K595">
        <f t="shared" si="13"/>
        <v>-1.5299999999999994</v>
      </c>
      <c r="L595" s="2">
        <v>0.0022148009848242394</v>
      </c>
      <c r="Q595">
        <v>-0.2963570351400588</v>
      </c>
      <c r="R595">
        <f t="shared" si="14"/>
        <v>-1.5299999999999994</v>
      </c>
      <c r="S595">
        <v>-0.0052339700670296545</v>
      </c>
    </row>
    <row r="596" spans="1:19" ht="12.75">
      <c r="A596" s="1">
        <f>DATE(1980,5,1)</f>
        <v>29342</v>
      </c>
      <c r="B596">
        <v>1980</v>
      </c>
      <c r="C596">
        <v>5</v>
      </c>
      <c r="D596">
        <v>9.15</v>
      </c>
      <c r="G596">
        <v>-0.15347533023434637</v>
      </c>
      <c r="J596" s="2">
        <v>-0.30085547045670313</v>
      </c>
      <c r="K596">
        <f t="shared" si="13"/>
        <v>-4.85</v>
      </c>
      <c r="L596" s="2">
        <v>-0.0018283658086592652</v>
      </c>
      <c r="Q596">
        <v>-0.2945357012399028</v>
      </c>
      <c r="R596">
        <f t="shared" si="14"/>
        <v>-4.85</v>
      </c>
      <c r="S596">
        <v>0.0036617537300459306</v>
      </c>
    </row>
    <row r="597" spans="1:19" ht="12.75">
      <c r="A597" s="1">
        <f>DATE(1980,6,1)</f>
        <v>29373</v>
      </c>
      <c r="B597">
        <v>1980</v>
      </c>
      <c r="C597">
        <v>6</v>
      </c>
      <c r="D597">
        <v>7</v>
      </c>
      <c r="G597">
        <v>-0.2288917665175731</v>
      </c>
      <c r="J597" s="2">
        <v>-0.299789057292032</v>
      </c>
      <c r="K597">
        <f t="shared" si="13"/>
        <v>-2.1500000000000004</v>
      </c>
      <c r="L597" s="2">
        <v>0.0021097357750343485</v>
      </c>
      <c r="Q597">
        <v>-0.29394254734652564</v>
      </c>
      <c r="R597">
        <f t="shared" si="14"/>
        <v>-2.1500000000000004</v>
      </c>
      <c r="S597">
        <v>-0.007267116718970781</v>
      </c>
    </row>
    <row r="598" spans="1:19" ht="12.75">
      <c r="A598" s="1">
        <f>DATE(1980,7,1)</f>
        <v>29403</v>
      </c>
      <c r="B598">
        <v>1980</v>
      </c>
      <c r="C598">
        <v>7</v>
      </c>
      <c r="D598">
        <v>8.13</v>
      </c>
      <c r="G598">
        <v>-0.2931153436716032</v>
      </c>
      <c r="J598" s="2">
        <v>-0.2980271736014599</v>
      </c>
      <c r="K598">
        <f t="shared" si="13"/>
        <v>1.1300000000000008</v>
      </c>
      <c r="L598" s="2">
        <v>0.005287805233293388</v>
      </c>
      <c r="Q598">
        <v>-0.2926207235026297</v>
      </c>
      <c r="R598">
        <f t="shared" si="14"/>
        <v>1.1300000000000008</v>
      </c>
      <c r="S598">
        <v>0.0007203441075280231</v>
      </c>
    </row>
    <row r="599" spans="1:19" ht="12.75">
      <c r="A599" s="1">
        <f>DATE(1980,8,1)</f>
        <v>29434</v>
      </c>
      <c r="B599">
        <v>1980</v>
      </c>
      <c r="C599">
        <v>8</v>
      </c>
      <c r="D599">
        <v>9.26</v>
      </c>
      <c r="G599">
        <v>-0.3420840253010769</v>
      </c>
      <c r="J599" s="2">
        <v>-0.29552921282302397</v>
      </c>
      <c r="K599">
        <f t="shared" si="13"/>
        <v>1.129999999999999</v>
      </c>
      <c r="L599" s="2">
        <v>0.005373948890397969</v>
      </c>
      <c r="Q599">
        <v>-0.2905779753567153</v>
      </c>
      <c r="R599">
        <f t="shared" si="14"/>
        <v>1.129999999999999</v>
      </c>
      <c r="S599">
        <v>0.0004706015950840984</v>
      </c>
    </row>
    <row r="600" spans="1:19" ht="12.75">
      <c r="A600" s="1">
        <f>DATE(1980,9,1)</f>
        <v>29465</v>
      </c>
      <c r="B600">
        <v>1980</v>
      </c>
      <c r="C600">
        <v>9</v>
      </c>
      <c r="D600">
        <v>10.32</v>
      </c>
      <c r="G600">
        <v>-0.3779062206047935</v>
      </c>
      <c r="J600" s="2">
        <v>-0.29229886448221676</v>
      </c>
      <c r="K600">
        <f t="shared" si="13"/>
        <v>1.0600000000000005</v>
      </c>
      <c r="L600" s="2">
        <v>0.001979393879024964</v>
      </c>
      <c r="Q600">
        <v>-0.287793001308038</v>
      </c>
      <c r="R600">
        <f t="shared" si="14"/>
        <v>1.0600000000000005</v>
      </c>
      <c r="S600">
        <v>-0.004206935476920941</v>
      </c>
    </row>
    <row r="601" spans="1:19" ht="12.75">
      <c r="A601" s="1">
        <f>DATE(1980,10,1)</f>
        <v>29495</v>
      </c>
      <c r="B601">
        <v>1980</v>
      </c>
      <c r="C601">
        <v>10</v>
      </c>
      <c r="D601">
        <v>11.58</v>
      </c>
      <c r="G601">
        <v>-0.39617006467471205</v>
      </c>
      <c r="J601" s="2">
        <v>-0.28819508542643063</v>
      </c>
      <c r="K601">
        <f t="shared" si="13"/>
        <v>1.2599999999999998</v>
      </c>
      <c r="L601" s="2">
        <v>0.002281429093656327</v>
      </c>
      <c r="Q601">
        <v>-0.2842362814136697</v>
      </c>
      <c r="R601">
        <f t="shared" si="14"/>
        <v>1.2599999999999998</v>
      </c>
      <c r="S601">
        <v>0.0016227136249906604</v>
      </c>
    </row>
    <row r="602" spans="1:19" ht="12.75">
      <c r="A602" s="1">
        <f>DATE(1980,11,1)</f>
        <v>29526</v>
      </c>
      <c r="B602">
        <v>1980</v>
      </c>
      <c r="C602">
        <v>11</v>
      </c>
      <c r="D602">
        <v>13.89</v>
      </c>
      <c r="G602">
        <v>-0.38998908263762766</v>
      </c>
      <c r="J602" s="2">
        <v>-0.2824406058618612</v>
      </c>
      <c r="K602">
        <f t="shared" si="13"/>
        <v>2.3100000000000005</v>
      </c>
      <c r="L602" s="2">
        <v>0.001391390592753094</v>
      </c>
      <c r="Q602">
        <v>-0.27920591088313</v>
      </c>
      <c r="R602">
        <f t="shared" si="14"/>
        <v>2.3100000000000005</v>
      </c>
      <c r="S602">
        <v>-5.595633867606802E-05</v>
      </c>
    </row>
    <row r="603" spans="1:19" ht="12.75">
      <c r="A603" s="1">
        <f>DATE(1980,12,1)</f>
        <v>29556</v>
      </c>
      <c r="B603">
        <v>1980</v>
      </c>
      <c r="C603">
        <v>12</v>
      </c>
      <c r="D603">
        <v>15.66</v>
      </c>
      <c r="G603">
        <v>-0.3649365983138452</v>
      </c>
      <c r="J603" s="2">
        <v>-0.2754729172177576</v>
      </c>
      <c r="K603">
        <f t="shared" si="13"/>
        <v>1.7699999999999996</v>
      </c>
      <c r="L603" s="2">
        <v>0.003682544175112489</v>
      </c>
      <c r="Q603">
        <v>-0.2729575093044201</v>
      </c>
      <c r="R603">
        <f t="shared" si="14"/>
        <v>1.7699999999999996</v>
      </c>
      <c r="S603">
        <v>-0.002191874051110171</v>
      </c>
    </row>
    <row r="604" spans="1:19" ht="12.75">
      <c r="A604" s="1">
        <f>DATE(1981,1,1)</f>
        <v>29587</v>
      </c>
      <c r="B604">
        <v>1981</v>
      </c>
      <c r="C604">
        <v>1</v>
      </c>
      <c r="D604">
        <v>14.73</v>
      </c>
      <c r="G604">
        <v>-0.3426290507301623</v>
      </c>
      <c r="J604" s="2">
        <v>-0.26913131264796775</v>
      </c>
      <c r="K604">
        <f t="shared" si="13"/>
        <v>-0.9299999999999997</v>
      </c>
      <c r="L604" s="2">
        <v>-0.0016105243511078744</v>
      </c>
      <c r="Q604">
        <v>-0.2672685622758111</v>
      </c>
      <c r="R604">
        <f t="shared" si="14"/>
        <v>-0.9299999999999997</v>
      </c>
      <c r="S604">
        <v>-0.0022394280498061843</v>
      </c>
    </row>
    <row r="605" spans="1:19" ht="12.75">
      <c r="A605" s="1">
        <f>DATE(1981,2,1)</f>
        <v>29618</v>
      </c>
      <c r="B605">
        <v>1981</v>
      </c>
      <c r="C605">
        <v>2</v>
      </c>
      <c r="D605">
        <v>14.91</v>
      </c>
      <c r="G605">
        <v>-0.3182443537163582</v>
      </c>
      <c r="J605" s="2">
        <v>-0.2625325220991839</v>
      </c>
      <c r="K605">
        <f t="shared" si="13"/>
        <v>0.17999999999999972</v>
      </c>
      <c r="L605" s="2">
        <v>-0.0052348603790998175</v>
      </c>
      <c r="Q605">
        <v>-0.2613296580479063</v>
      </c>
      <c r="R605">
        <f t="shared" si="14"/>
        <v>0.17999999999999972</v>
      </c>
      <c r="S605">
        <v>-0.00859416995623186</v>
      </c>
    </row>
    <row r="606" spans="1:19" ht="12.75">
      <c r="A606" s="1">
        <f>DATE(1981,3,1)</f>
        <v>29646</v>
      </c>
      <c r="B606">
        <v>1981</v>
      </c>
      <c r="C606">
        <v>3</v>
      </c>
      <c r="D606">
        <v>13.48</v>
      </c>
      <c r="G606">
        <v>-0.30435874158185494</v>
      </c>
      <c r="J606" s="2">
        <v>-0.2569297267579348</v>
      </c>
      <c r="K606">
        <f t="shared" si="13"/>
        <v>-1.4299999999999997</v>
      </c>
      <c r="L606" s="2">
        <v>-0.0013026300285891364</v>
      </c>
      <c r="Q606">
        <v>-0.25631162611329716</v>
      </c>
      <c r="R606">
        <f t="shared" si="14"/>
        <v>-1.4299999999999997</v>
      </c>
      <c r="S606">
        <v>-0.005921013395269487</v>
      </c>
    </row>
    <row r="607" spans="1:19" ht="12.75">
      <c r="A607" s="1">
        <f>DATE(1981,4,1)</f>
        <v>29677</v>
      </c>
      <c r="B607">
        <v>1981</v>
      </c>
      <c r="C607">
        <v>4</v>
      </c>
      <c r="D607">
        <v>13.63</v>
      </c>
      <c r="G607">
        <v>-0.29035197477008357</v>
      </c>
      <c r="J607" s="2">
        <v>-0.2510852016261258</v>
      </c>
      <c r="K607">
        <f t="shared" si="13"/>
        <v>0.15000000000000036</v>
      </c>
      <c r="L607" s="2">
        <v>-0.006068771325101949</v>
      </c>
      <c r="Q607">
        <v>-0.2512853624295838</v>
      </c>
      <c r="R607">
        <f t="shared" si="14"/>
        <v>0.15000000000000036</v>
      </c>
      <c r="S607">
        <v>0.0061310273641540704</v>
      </c>
    </row>
    <row r="608" spans="1:19" ht="12.75">
      <c r="A608" s="1">
        <f>DATE(1981,5,1)</f>
        <v>29707</v>
      </c>
      <c r="B608">
        <v>1981</v>
      </c>
      <c r="C608">
        <v>5</v>
      </c>
      <c r="D608">
        <v>16.29</v>
      </c>
      <c r="G608">
        <v>-0.2484425458218376</v>
      </c>
      <c r="J608" s="2">
        <v>-0.24322734270474292</v>
      </c>
      <c r="K608">
        <f t="shared" si="13"/>
        <v>2.6599999999999984</v>
      </c>
      <c r="L608" s="2">
        <v>-0.0033922061509172262</v>
      </c>
      <c r="Q608">
        <v>-0.24460813584735858</v>
      </c>
      <c r="R608">
        <f t="shared" si="14"/>
        <v>2.6599999999999984</v>
      </c>
      <c r="S608">
        <v>0.0012317591613351256</v>
      </c>
    </row>
    <row r="609" spans="1:19" ht="12.75">
      <c r="A609" s="1">
        <f>DATE(1981,6,1)</f>
        <v>29738</v>
      </c>
      <c r="B609">
        <v>1981</v>
      </c>
      <c r="C609">
        <v>6</v>
      </c>
      <c r="D609">
        <v>14.56</v>
      </c>
      <c r="G609">
        <v>-0.222620252575899</v>
      </c>
      <c r="J609" s="2">
        <v>-0.23652214962302984</v>
      </c>
      <c r="K609">
        <f t="shared" si="13"/>
        <v>-1.7299999999999986</v>
      </c>
      <c r="L609" s="2">
        <v>-0.00394303849925731</v>
      </c>
      <c r="Q609">
        <v>-0.23901237144132204</v>
      </c>
      <c r="R609">
        <f t="shared" si="14"/>
        <v>-1.7299999999999986</v>
      </c>
      <c r="S609">
        <v>-0.005423180055496822</v>
      </c>
    </row>
    <row r="610" spans="1:19" ht="12.75">
      <c r="A610" s="1">
        <f>DATE(1981,7,1)</f>
        <v>29768</v>
      </c>
      <c r="B610">
        <v>1981</v>
      </c>
      <c r="C610">
        <v>7</v>
      </c>
      <c r="D610">
        <v>14.7</v>
      </c>
      <c r="G610">
        <v>-0.19226766042798493</v>
      </c>
      <c r="J610" s="2">
        <v>-0.22969468389706774</v>
      </c>
      <c r="K610">
        <f t="shared" si="13"/>
        <v>0.1399999999999988</v>
      </c>
      <c r="L610" s="2">
        <v>-0.00042746662395411623</v>
      </c>
      <c r="Q610">
        <v>-0.23344692710399534</v>
      </c>
      <c r="R610">
        <f t="shared" si="14"/>
        <v>0.1399999999999988</v>
      </c>
      <c r="S610">
        <v>0.002231858113219284</v>
      </c>
    </row>
    <row r="611" spans="1:19" ht="12.75">
      <c r="A611" s="1">
        <f>DATE(1981,8,1)</f>
        <v>29799</v>
      </c>
      <c r="B611">
        <v>1981</v>
      </c>
      <c r="C611">
        <v>8</v>
      </c>
      <c r="D611">
        <v>15.61</v>
      </c>
      <c r="G611">
        <v>-0.15469626875952103</v>
      </c>
      <c r="J611" s="2">
        <v>-0.22213233309696376</v>
      </c>
      <c r="K611">
        <f t="shared" si="13"/>
        <v>0.9100000000000001</v>
      </c>
      <c r="L611" s="2">
        <v>-0.002958433407343665</v>
      </c>
      <c r="Q611">
        <v>-0.2272881716936528</v>
      </c>
      <c r="R611">
        <f t="shared" si="14"/>
        <v>0.9100000000000001</v>
      </c>
      <c r="S611">
        <v>-0.0013862438392769074</v>
      </c>
    </row>
    <row r="612" spans="1:19" ht="12.75">
      <c r="A612" s="1">
        <f>DATE(1981,9,1)</f>
        <v>29830</v>
      </c>
      <c r="B612">
        <v>1981</v>
      </c>
      <c r="C612">
        <v>9</v>
      </c>
      <c r="D612">
        <v>14.95</v>
      </c>
      <c r="G612">
        <v>-0.12163882781619151</v>
      </c>
      <c r="J612" s="2">
        <v>-0.21496401630178008</v>
      </c>
      <c r="K612">
        <f t="shared" si="13"/>
        <v>-0.6600000000000001</v>
      </c>
      <c r="L612" s="2">
        <v>-0.002781577107764591</v>
      </c>
      <c r="Q612">
        <v>-0.22149252048536192</v>
      </c>
      <c r="R612">
        <f t="shared" si="14"/>
        <v>-0.6600000000000001</v>
      </c>
      <c r="S612">
        <v>0.0006317108811099825</v>
      </c>
    </row>
    <row r="613" spans="1:19" ht="12.75">
      <c r="A613" s="1">
        <f>DATE(1981,10,1)</f>
        <v>29860</v>
      </c>
      <c r="B613">
        <v>1981</v>
      </c>
      <c r="C613">
        <v>10</v>
      </c>
      <c r="D613">
        <v>13.87</v>
      </c>
      <c r="G613">
        <v>-0.09822304719594914</v>
      </c>
      <c r="J613" s="2">
        <v>-0.2084465024594708</v>
      </c>
      <c r="K613">
        <f t="shared" si="13"/>
        <v>-1.08</v>
      </c>
      <c r="L613" s="2">
        <v>-0.0049415299093633555</v>
      </c>
      <c r="Q613">
        <v>-0.21640899975683622</v>
      </c>
      <c r="R613">
        <f t="shared" si="14"/>
        <v>-1.08</v>
      </c>
      <c r="S613">
        <v>0.0023197102851111994</v>
      </c>
    </row>
    <row r="614" spans="1:19" ht="12.75">
      <c r="A614" s="1">
        <f>DATE(1981,11,1)</f>
        <v>29891</v>
      </c>
      <c r="B614">
        <v>1981</v>
      </c>
      <c r="C614">
        <v>11</v>
      </c>
      <c r="D614">
        <v>11.27</v>
      </c>
      <c r="G614">
        <v>-0.09698886135359987</v>
      </c>
      <c r="J614" s="2">
        <v>-0.20364172574808934</v>
      </c>
      <c r="K614">
        <f t="shared" si="13"/>
        <v>-2.5999999999999996</v>
      </c>
      <c r="L614" s="2">
        <v>-0.006805488086697536</v>
      </c>
      <c r="Q614">
        <v>-0.2128463563979366</v>
      </c>
      <c r="R614">
        <f t="shared" si="14"/>
        <v>-2.5999999999999996</v>
      </c>
      <c r="S614">
        <v>-0.005852512463632974</v>
      </c>
    </row>
    <row r="615" spans="1:19" ht="12.75">
      <c r="A615" s="1">
        <f>DATE(1981,12,1)</f>
        <v>29921</v>
      </c>
      <c r="B615">
        <v>1981</v>
      </c>
      <c r="C615">
        <v>12</v>
      </c>
      <c r="D615">
        <v>10.93</v>
      </c>
      <c r="G615">
        <v>-0.09846175542751137</v>
      </c>
      <c r="J615" s="2">
        <v>-0.1990069615294843</v>
      </c>
      <c r="K615">
        <f t="shared" si="13"/>
        <v>-0.33999999999999986</v>
      </c>
      <c r="L615" s="2">
        <v>-0.001930910511707196</v>
      </c>
      <c r="Q615">
        <v>-0.2093660213327683</v>
      </c>
      <c r="R615">
        <f t="shared" si="14"/>
        <v>-0.33999999999999986</v>
      </c>
      <c r="S615">
        <v>-0.0009862456917967017</v>
      </c>
    </row>
    <row r="616" spans="1:19" ht="12.75">
      <c r="A616" s="1">
        <f>DATE(1982,1,1)</f>
        <v>29952</v>
      </c>
      <c r="B616">
        <v>1982</v>
      </c>
      <c r="C616">
        <v>1</v>
      </c>
      <c r="D616">
        <v>12.41</v>
      </c>
      <c r="G616">
        <v>-0.08479012222817756</v>
      </c>
      <c r="J616" s="2">
        <v>-0.19324241465451245</v>
      </c>
      <c r="K616">
        <f t="shared" si="13"/>
        <v>1.4800000000000004</v>
      </c>
      <c r="L616" s="2">
        <v>-0.0014043363743777915</v>
      </c>
      <c r="Q616">
        <v>-0.20502957089403628</v>
      </c>
      <c r="R616">
        <f t="shared" si="14"/>
        <v>1.4800000000000004</v>
      </c>
      <c r="S616">
        <v>0.005927918546670659</v>
      </c>
    </row>
    <row r="617" spans="1:19" ht="12.75">
      <c r="A617" s="1">
        <f>DATE(1982,2,1)</f>
        <v>29983</v>
      </c>
      <c r="B617">
        <v>1982</v>
      </c>
      <c r="C617">
        <v>2</v>
      </c>
      <c r="D617">
        <v>13.78</v>
      </c>
      <c r="G617">
        <v>-0.05693344002644769</v>
      </c>
      <c r="J617" s="2">
        <v>-0.18643261684991325</v>
      </c>
      <c r="K617">
        <f t="shared" si="13"/>
        <v>1.3699999999999992</v>
      </c>
      <c r="L617" s="2">
        <v>-0.001499990866225409</v>
      </c>
      <c r="Q617">
        <v>-0.1997630445309122</v>
      </c>
      <c r="R617">
        <f t="shared" si="14"/>
        <v>1.3699999999999992</v>
      </c>
      <c r="S617">
        <v>-0.0025645431424125794</v>
      </c>
    </row>
    <row r="618" spans="1:19" ht="12.75">
      <c r="A618" s="1">
        <f>DATE(1982,3,1)</f>
        <v>30011</v>
      </c>
      <c r="B618">
        <v>1982</v>
      </c>
      <c r="C618">
        <v>3</v>
      </c>
      <c r="D618">
        <v>12.49</v>
      </c>
      <c r="G618">
        <v>-0.041563081174320414</v>
      </c>
      <c r="J618" s="2">
        <v>-0.1805946643132889</v>
      </c>
      <c r="K618">
        <f t="shared" si="13"/>
        <v>-1.2899999999999991</v>
      </c>
      <c r="L618" s="2">
        <v>0.002191665209662568</v>
      </c>
      <c r="Q618">
        <v>-0.19522107642344247</v>
      </c>
      <c r="R618">
        <f t="shared" si="14"/>
        <v>-1.2899999999999991</v>
      </c>
      <c r="S618">
        <v>-0.001166761818256839</v>
      </c>
    </row>
    <row r="619" spans="1:19" ht="12.75">
      <c r="A619" s="1">
        <f>DATE(1982,4,1)</f>
        <v>30042</v>
      </c>
      <c r="B619">
        <v>1982</v>
      </c>
      <c r="C619">
        <v>4</v>
      </c>
      <c r="D619">
        <v>12.82</v>
      </c>
      <c r="J619" s="2">
        <v>-0.17462825765067255</v>
      </c>
      <c r="K619">
        <f t="shared" si="13"/>
        <v>0.33000000000000007</v>
      </c>
      <c r="L619" s="2">
        <v>0.005379055168107447</v>
      </c>
      <c r="Q619">
        <v>-0.19049573259452124</v>
      </c>
      <c r="R619">
        <f t="shared" si="14"/>
        <v>0.33000000000000007</v>
      </c>
      <c r="S619">
        <v>0.0007625164675014826</v>
      </c>
    </row>
    <row r="620" spans="1:19" ht="12.75">
      <c r="A620" s="1">
        <f>DATE(1982,5,1)</f>
        <v>30072</v>
      </c>
      <c r="B620">
        <v>1982</v>
      </c>
      <c r="C620">
        <v>5</v>
      </c>
      <c r="D620">
        <v>12.15</v>
      </c>
      <c r="J620" s="2">
        <v>-0.16910942101006063</v>
      </c>
      <c r="K620">
        <f t="shared" si="13"/>
        <v>-0.6699999999999999</v>
      </c>
      <c r="L620" s="2">
        <v>-0.0014504946240604141</v>
      </c>
      <c r="Q620">
        <v>-0.18624424150833666</v>
      </c>
      <c r="R620">
        <f t="shared" si="14"/>
        <v>-0.6699999999999999</v>
      </c>
      <c r="S620">
        <v>0.003671747185484573</v>
      </c>
    </row>
    <row r="621" spans="1:19" ht="12.75">
      <c r="A621" s="1">
        <f>DATE(1982,6,1)</f>
        <v>30103</v>
      </c>
      <c r="B621">
        <v>1982</v>
      </c>
      <c r="C621">
        <v>6</v>
      </c>
      <c r="D621">
        <v>12.11</v>
      </c>
      <c r="J621" s="2">
        <v>-0.1635797642984412</v>
      </c>
      <c r="K621">
        <f t="shared" si="13"/>
        <v>-0.040000000000000924</v>
      </c>
      <c r="L621" s="2">
        <v>-0.0013861783597087622</v>
      </c>
      <c r="Q621">
        <v>-0.18198532993136166</v>
      </c>
      <c r="R621">
        <f t="shared" si="14"/>
        <v>-0.040000000000000924</v>
      </c>
      <c r="S621">
        <v>-0.00012366245814917268</v>
      </c>
    </row>
    <row r="622" spans="1:19" ht="12.75">
      <c r="A622" s="1">
        <f>DATE(1982,7,1)</f>
        <v>30133</v>
      </c>
      <c r="B622">
        <v>1982</v>
      </c>
      <c r="C622">
        <v>7</v>
      </c>
      <c r="D622">
        <v>11.92</v>
      </c>
      <c r="H622">
        <v>0.9618936410889908</v>
      </c>
      <c r="J622" s="2">
        <v>-0.1582779154911746</v>
      </c>
      <c r="K622">
        <f aca="true" t="shared" si="15" ref="K622:K685">D622-D621</f>
        <v>-0.1899999999999995</v>
      </c>
      <c r="L622" s="2">
        <v>0.004719111100633147</v>
      </c>
      <c r="Q622">
        <v>-0.17790468645829843</v>
      </c>
      <c r="R622">
        <f t="shared" si="14"/>
        <v>-0.1899999999999995</v>
      </c>
      <c r="S622">
        <v>0.0020656508164404778</v>
      </c>
    </row>
    <row r="623" spans="1:19" ht="12.75">
      <c r="A623" s="1">
        <f>DATE(1982,8,1)</f>
        <v>30164</v>
      </c>
      <c r="B623">
        <v>1982</v>
      </c>
      <c r="C623">
        <v>8</v>
      </c>
      <c r="D623">
        <v>9.01</v>
      </c>
      <c r="H623">
        <v>0.9369340629059973</v>
      </c>
      <c r="J623" s="2">
        <v>-0.15527189149948828</v>
      </c>
      <c r="K623">
        <f t="shared" si="15"/>
        <v>-2.91</v>
      </c>
      <c r="L623" s="2">
        <v>0.009198849893912255</v>
      </c>
      <c r="Q623">
        <v>-0.17567976157258286</v>
      </c>
      <c r="R623">
        <f t="shared" si="14"/>
        <v>-2.91</v>
      </c>
      <c r="S623">
        <v>0.00031576884170818965</v>
      </c>
    </row>
    <row r="624" spans="1:19" ht="12.75">
      <c r="A624" s="1">
        <f>DATE(1982,9,1)</f>
        <v>30195</v>
      </c>
      <c r="B624">
        <v>1982</v>
      </c>
      <c r="C624">
        <v>9</v>
      </c>
      <c r="D624">
        <v>8.2</v>
      </c>
      <c r="H624">
        <v>0.91492199968738</v>
      </c>
      <c r="J624" s="2">
        <v>-0.15289602583342587</v>
      </c>
      <c r="K624">
        <f t="shared" si="15"/>
        <v>-0.8100000000000005</v>
      </c>
      <c r="L624" s="2">
        <v>0.0024514819677919865</v>
      </c>
      <c r="Q624">
        <v>-0.1740334627534511</v>
      </c>
      <c r="R624">
        <f t="shared" si="14"/>
        <v>-0.8100000000000005</v>
      </c>
      <c r="S624">
        <v>0.0036994314223248977</v>
      </c>
    </row>
    <row r="625" spans="1:19" ht="12.75">
      <c r="A625" s="1">
        <f>DATE(1982,10,1)</f>
        <v>30225</v>
      </c>
      <c r="B625">
        <v>1982</v>
      </c>
      <c r="C625">
        <v>10</v>
      </c>
      <c r="D625">
        <v>7.75</v>
      </c>
      <c r="H625">
        <v>0.8964537085754115</v>
      </c>
      <c r="J625" s="2">
        <v>-0.15081713279201117</v>
      </c>
      <c r="K625">
        <f t="shared" si="15"/>
        <v>-0.4499999999999993</v>
      </c>
      <c r="L625" s="2">
        <v>-0.0014625022971536642</v>
      </c>
      <c r="Q625">
        <v>-0.17270763397128053</v>
      </c>
      <c r="R625">
        <f t="shared" si="14"/>
        <v>-0.4499999999999993</v>
      </c>
      <c r="S625">
        <v>0.0014966346912078635</v>
      </c>
    </row>
    <row r="626" spans="1:19" ht="12.75">
      <c r="A626" s="1">
        <f>DATE(1982,11,1)</f>
        <v>30256</v>
      </c>
      <c r="B626">
        <v>1982</v>
      </c>
      <c r="C626">
        <v>11</v>
      </c>
      <c r="D626">
        <v>8.04</v>
      </c>
      <c r="H626">
        <v>0.8741844512336246</v>
      </c>
      <c r="J626" s="2">
        <v>-0.14864279416981374</v>
      </c>
      <c r="K626">
        <f t="shared" si="15"/>
        <v>0.28999999999999915</v>
      </c>
      <c r="L626" s="2">
        <v>0.0048751100344130325</v>
      </c>
      <c r="Q626">
        <v>-0.17108614589448942</v>
      </c>
      <c r="R626">
        <f t="shared" si="14"/>
        <v>0.28999999999999915</v>
      </c>
      <c r="S626">
        <v>-0.002819951794019491</v>
      </c>
    </row>
    <row r="627" spans="1:19" ht="12.75">
      <c r="A627" s="1">
        <f>DATE(1982,12,1)</f>
        <v>30286</v>
      </c>
      <c r="B627">
        <v>1982</v>
      </c>
      <c r="C627">
        <v>12</v>
      </c>
      <c r="D627">
        <v>8.02</v>
      </c>
      <c r="H627">
        <v>0.8495702211740052</v>
      </c>
      <c r="J627" s="2">
        <v>-0.14663215956486605</v>
      </c>
      <c r="K627">
        <f t="shared" si="15"/>
        <v>-0.019999999999999574</v>
      </c>
      <c r="L627" s="2">
        <v>0.0061036760004685026</v>
      </c>
      <c r="Q627">
        <v>-0.1692121309986445</v>
      </c>
      <c r="R627">
        <f t="shared" si="14"/>
        <v>-0.019999999999999574</v>
      </c>
      <c r="S627">
        <v>-0.006434984714707218</v>
      </c>
    </row>
    <row r="628" spans="1:19" ht="12.75">
      <c r="A628" s="1">
        <f>DATE(1983,1,1)</f>
        <v>30317</v>
      </c>
      <c r="B628">
        <v>1983</v>
      </c>
      <c r="C628">
        <v>1</v>
      </c>
      <c r="D628">
        <v>7.81</v>
      </c>
      <c r="H628">
        <v>0.8255422611224207</v>
      </c>
      <c r="J628" s="2">
        <v>-0.1447936905222791</v>
      </c>
      <c r="K628">
        <f t="shared" si="15"/>
        <v>-0.20999999999999996</v>
      </c>
      <c r="L628" s="2">
        <v>0.00248760347470647</v>
      </c>
      <c r="Q628">
        <v>-0.16732239002509158</v>
      </c>
      <c r="R628">
        <f t="shared" si="14"/>
        <v>-0.20999999999999996</v>
      </c>
      <c r="S628">
        <v>-0.0010038661809012427</v>
      </c>
    </row>
    <row r="629" spans="1:19" ht="12.75">
      <c r="A629" s="1">
        <f>DATE(1983,2,1)</f>
        <v>30348</v>
      </c>
      <c r="B629">
        <v>1983</v>
      </c>
      <c r="C629">
        <v>2</v>
      </c>
      <c r="D629">
        <v>8.13</v>
      </c>
      <c r="H629">
        <v>0.7987443065703208</v>
      </c>
      <c r="J629" s="2">
        <v>-0.14273658032874803</v>
      </c>
      <c r="K629">
        <f t="shared" si="15"/>
        <v>0.3200000000000012</v>
      </c>
      <c r="L629" s="2">
        <v>0.000805868005336961</v>
      </c>
      <c r="Q629">
        <v>-0.1651771063737698</v>
      </c>
      <c r="R629">
        <f t="shared" si="14"/>
        <v>0.3200000000000012</v>
      </c>
      <c r="S629">
        <v>-0.0017331497905986764</v>
      </c>
    </row>
    <row r="630" spans="1:19" ht="12.75">
      <c r="A630" s="1">
        <f>DATE(1983,3,1)</f>
        <v>30376</v>
      </c>
      <c r="B630">
        <v>1983</v>
      </c>
      <c r="C630">
        <v>3</v>
      </c>
      <c r="D630">
        <v>8.3</v>
      </c>
      <c r="H630">
        <v>0.7697460835498172</v>
      </c>
      <c r="J630" s="2">
        <v>-0.1406689551527623</v>
      </c>
      <c r="K630">
        <f t="shared" si="15"/>
        <v>0.16999999999999993</v>
      </c>
      <c r="L630" s="2">
        <v>0.004881267134133328</v>
      </c>
      <c r="Q630">
        <v>-0.16287173115003087</v>
      </c>
      <c r="R630">
        <f t="shared" si="14"/>
        <v>0.16999999999999993</v>
      </c>
      <c r="S630">
        <v>-0.0039838353285226984</v>
      </c>
    </row>
    <row r="631" spans="1:19" ht="12.75">
      <c r="A631" s="1">
        <f>DATE(1983,4,1)</f>
        <v>30407</v>
      </c>
      <c r="B631">
        <v>1983</v>
      </c>
      <c r="C631">
        <v>4</v>
      </c>
      <c r="D631">
        <v>8.25</v>
      </c>
      <c r="H631">
        <v>0.7405369847691913</v>
      </c>
      <c r="J631" s="2">
        <v>-0.13877798405596417</v>
      </c>
      <c r="K631">
        <f t="shared" si="15"/>
        <v>-0.05000000000000071</v>
      </c>
      <c r="L631" s="2">
        <v>0.006548876614313299</v>
      </c>
      <c r="Q631">
        <v>-0.16059422169071633</v>
      </c>
      <c r="R631">
        <f t="shared" si="14"/>
        <v>-0.05000000000000071</v>
      </c>
      <c r="S631">
        <v>-0.0007438093918389745</v>
      </c>
    </row>
    <row r="632" spans="1:19" ht="12.75">
      <c r="A632" s="1">
        <f>DATE(1983,5,1)</f>
        <v>30437</v>
      </c>
      <c r="B632">
        <v>1983</v>
      </c>
      <c r="C632">
        <v>5</v>
      </c>
      <c r="D632">
        <v>8.19</v>
      </c>
      <c r="H632">
        <v>0.7137905329282556</v>
      </c>
      <c r="J632" s="2">
        <v>-0.13703796003607085</v>
      </c>
      <c r="K632">
        <f t="shared" si="15"/>
        <v>-0.0600000000000005</v>
      </c>
      <c r="L632" s="2">
        <v>0.004658343902521875</v>
      </c>
      <c r="Q632">
        <v>-0.15840504924994595</v>
      </c>
      <c r="R632">
        <f t="shared" si="14"/>
        <v>-0.0600000000000005</v>
      </c>
      <c r="S632">
        <v>0.0007672283443500164</v>
      </c>
    </row>
    <row r="633" spans="1:19" ht="12.75">
      <c r="A633" s="1">
        <f>DATE(1983,6,1)</f>
        <v>30468</v>
      </c>
      <c r="B633">
        <v>1983</v>
      </c>
      <c r="C633">
        <v>6</v>
      </c>
      <c r="D633">
        <v>8.82</v>
      </c>
      <c r="H633">
        <v>0.6832873490636547</v>
      </c>
      <c r="J633" s="2">
        <v>-0.1347852057018572</v>
      </c>
      <c r="K633">
        <f t="shared" si="15"/>
        <v>0.6300000000000008</v>
      </c>
      <c r="L633" s="2">
        <v>-0.0023685455382000324</v>
      </c>
      <c r="Q633">
        <v>-0.15589058730369995</v>
      </c>
      <c r="R633">
        <f t="shared" si="14"/>
        <v>0.6300000000000008</v>
      </c>
      <c r="S633">
        <v>0.002256434781003609</v>
      </c>
    </row>
    <row r="634" spans="1:19" ht="12.75">
      <c r="A634" s="1">
        <f>DATE(1983,7,1)</f>
        <v>30498</v>
      </c>
      <c r="B634">
        <v>1983</v>
      </c>
      <c r="C634">
        <v>7</v>
      </c>
      <c r="D634">
        <v>9.12</v>
      </c>
      <c r="H634">
        <v>0.6511952161582603</v>
      </c>
      <c r="J634" s="2">
        <v>-0.13237147183081738</v>
      </c>
      <c r="K634">
        <f t="shared" si="15"/>
        <v>0.29999999999999893</v>
      </c>
      <c r="L634" s="2">
        <v>0.003550187632547275</v>
      </c>
      <c r="Q634">
        <v>-0.15338238571075072</v>
      </c>
      <c r="R634">
        <f t="shared" si="14"/>
        <v>0.29999999999999893</v>
      </c>
      <c r="S634">
        <v>0.0010055923692466097</v>
      </c>
    </row>
    <row r="635" spans="1:19" ht="12.75">
      <c r="A635" s="1">
        <f>DATE(1983,8,1)</f>
        <v>30529</v>
      </c>
      <c r="B635">
        <v>1983</v>
      </c>
      <c r="C635">
        <v>8</v>
      </c>
      <c r="D635">
        <v>9.39</v>
      </c>
      <c r="H635">
        <v>0.615902545616952</v>
      </c>
      <c r="J635" s="2">
        <v>-0.12985974934623043</v>
      </c>
      <c r="K635">
        <f t="shared" si="15"/>
        <v>0.27000000000000135</v>
      </c>
      <c r="L635" s="2">
        <v>0.005631842240230946</v>
      </c>
      <c r="Q635">
        <v>-0.15076041606740995</v>
      </c>
      <c r="R635">
        <f t="shared" si="14"/>
        <v>0.27000000000000135</v>
      </c>
      <c r="S635">
        <v>-0.0013324152864925647</v>
      </c>
    </row>
    <row r="636" spans="1:19" ht="12.75">
      <c r="A636" s="1">
        <f>DATE(1983,9,1)</f>
        <v>30560</v>
      </c>
      <c r="B636">
        <v>1983</v>
      </c>
      <c r="C636">
        <v>9</v>
      </c>
      <c r="D636">
        <v>9.05</v>
      </c>
      <c r="H636">
        <v>0.5807727989104187</v>
      </c>
      <c r="J636" s="2">
        <v>-0.12760392055836067</v>
      </c>
      <c r="K636">
        <f t="shared" si="15"/>
        <v>-0.33999999999999986</v>
      </c>
      <c r="L636" s="2">
        <v>0.0013747856959634647</v>
      </c>
      <c r="Q636">
        <v>-0.14842577319822733</v>
      </c>
      <c r="R636">
        <f t="shared" si="14"/>
        <v>-0.33999999999999986</v>
      </c>
      <c r="S636">
        <v>0.0015624836998136056</v>
      </c>
    </row>
    <row r="637" spans="1:19" ht="12.75">
      <c r="A637" s="1">
        <f>DATE(1983,10,1)</f>
        <v>30590</v>
      </c>
      <c r="B637">
        <v>1983</v>
      </c>
      <c r="C637">
        <v>10</v>
      </c>
      <c r="D637">
        <v>8.71</v>
      </c>
      <c r="H637">
        <v>0.5462765066202907</v>
      </c>
      <c r="J637" s="2">
        <v>-0.1255478566134769</v>
      </c>
      <c r="K637">
        <f t="shared" si="15"/>
        <v>-0.33999999999999986</v>
      </c>
      <c r="L637" s="2">
        <v>-0.001567772351829195</v>
      </c>
      <c r="Q637">
        <v>-0.1463446063061604</v>
      </c>
      <c r="R637">
        <f t="shared" si="14"/>
        <v>-0.33999999999999986</v>
      </c>
      <c r="S637">
        <v>-0.0003016999443560603</v>
      </c>
    </row>
    <row r="638" spans="1:19" ht="12.75">
      <c r="A638" s="1">
        <f>DATE(1983,11,1)</f>
        <v>30621</v>
      </c>
      <c r="B638">
        <v>1983</v>
      </c>
      <c r="C638">
        <v>11</v>
      </c>
      <c r="D638">
        <v>8.71</v>
      </c>
      <c r="H638">
        <v>0.5118265948225503</v>
      </c>
      <c r="J638" s="2">
        <v>-0.12348867394209978</v>
      </c>
      <c r="K638">
        <f t="shared" si="15"/>
        <v>0</v>
      </c>
      <c r="L638" s="2">
        <v>-0.0006664390942699018</v>
      </c>
      <c r="Q638">
        <v>-0.14426427421431953</v>
      </c>
      <c r="R638">
        <f t="shared" si="14"/>
        <v>0</v>
      </c>
      <c r="S638">
        <v>0.00019188443998951384</v>
      </c>
    </row>
    <row r="639" spans="1:19" ht="12.75">
      <c r="A639" s="1">
        <f>DATE(1983,12,1)</f>
        <v>30651</v>
      </c>
      <c r="B639">
        <v>1983</v>
      </c>
      <c r="C639">
        <v>12</v>
      </c>
      <c r="D639">
        <v>8.96</v>
      </c>
      <c r="H639">
        <v>0.47559873841964717</v>
      </c>
      <c r="J639" s="2">
        <v>-0.12125490445649303</v>
      </c>
      <c r="K639">
        <f t="shared" si="15"/>
        <v>0.25</v>
      </c>
      <c r="L639" s="2">
        <v>0.0013266905597367504</v>
      </c>
      <c r="Q639">
        <v>-0.14196072779820768</v>
      </c>
      <c r="R639">
        <f aca="true" t="shared" si="16" ref="R639:R702">D639-D638</f>
        <v>0.25</v>
      </c>
      <c r="S639">
        <v>-0.0015774066710007497</v>
      </c>
    </row>
    <row r="640" spans="1:19" ht="12.75">
      <c r="A640" s="1">
        <f>DATE(1984,1,1)</f>
        <v>30682</v>
      </c>
      <c r="B640">
        <v>1984</v>
      </c>
      <c r="C640">
        <v>1</v>
      </c>
      <c r="D640">
        <v>8.93</v>
      </c>
      <c r="H640">
        <v>0.4397500849813657</v>
      </c>
      <c r="J640" s="2">
        <v>-0.11902200530291904</v>
      </c>
      <c r="K640">
        <f t="shared" si="15"/>
        <v>-0.030000000000001137</v>
      </c>
      <c r="L640" s="2">
        <v>-0.0013783707163267426</v>
      </c>
      <c r="Q640">
        <v>-0.1396379140021448</v>
      </c>
      <c r="R640">
        <f t="shared" si="16"/>
        <v>-0.030000000000001137</v>
      </c>
      <c r="S640">
        <v>0.00026794401656724334</v>
      </c>
    </row>
    <row r="641" spans="1:19" ht="12.75">
      <c r="A641" s="1">
        <f>DATE(1984,2,1)</f>
        <v>30713</v>
      </c>
      <c r="B641">
        <v>1984</v>
      </c>
      <c r="C641">
        <v>2</v>
      </c>
      <c r="D641">
        <v>9.03</v>
      </c>
      <c r="H641">
        <v>0.403669414236009</v>
      </c>
      <c r="J641" s="2">
        <v>-0.11657541540647302</v>
      </c>
      <c r="K641">
        <f t="shared" si="15"/>
        <v>0.09999999999999964</v>
      </c>
      <c r="L641" s="2">
        <v>-0.005697422775460439</v>
      </c>
      <c r="Q641">
        <v>-0.1372044613148491</v>
      </c>
      <c r="R641">
        <f t="shared" si="16"/>
        <v>0.09999999999999964</v>
      </c>
      <c r="S641">
        <v>-0.0037444684569510047</v>
      </c>
    </row>
    <row r="642" spans="1:19" ht="12.75">
      <c r="A642" s="1">
        <f>DATE(1984,3,1)</f>
        <v>30742</v>
      </c>
      <c r="B642">
        <v>1984</v>
      </c>
      <c r="C642">
        <v>3</v>
      </c>
      <c r="D642">
        <v>9.08</v>
      </c>
      <c r="H642">
        <v>0.36821124494401647</v>
      </c>
      <c r="J642" s="2">
        <v>-0.11409088192619962</v>
      </c>
      <c r="K642">
        <f t="shared" si="15"/>
        <v>0.05000000000000071</v>
      </c>
      <c r="L642" s="2">
        <v>-0.00017721083091602277</v>
      </c>
      <c r="Q642">
        <v>-0.1346463810517942</v>
      </c>
      <c r="R642">
        <f t="shared" si="16"/>
        <v>0.05000000000000071</v>
      </c>
      <c r="S642">
        <v>-0.002150147937551896</v>
      </c>
    </row>
    <row r="643" spans="1:19" ht="12.75">
      <c r="A643" s="1">
        <f>DATE(1984,4,1)</f>
        <v>30773</v>
      </c>
      <c r="B643">
        <v>1984</v>
      </c>
      <c r="C643">
        <v>4</v>
      </c>
      <c r="D643">
        <v>9.69</v>
      </c>
      <c r="H643">
        <v>0.3293599822523837</v>
      </c>
      <c r="J643" s="2">
        <v>-0.11125914768754788</v>
      </c>
      <c r="K643">
        <f t="shared" si="15"/>
        <v>0.6099999999999994</v>
      </c>
      <c r="L643" s="2">
        <v>0.0037997631999770916</v>
      </c>
      <c r="Q643">
        <v>-0.1316897526605085</v>
      </c>
      <c r="R643">
        <f t="shared" si="16"/>
        <v>0.6099999999999994</v>
      </c>
      <c r="S643">
        <v>-0.0009572976443606357</v>
      </c>
    </row>
    <row r="644" spans="1:19" ht="12.75">
      <c r="A644" s="1">
        <f>DATE(1984,5,1)</f>
        <v>30803</v>
      </c>
      <c r="B644">
        <v>1984</v>
      </c>
      <c r="C644">
        <v>5</v>
      </c>
      <c r="D644">
        <v>9.9</v>
      </c>
      <c r="H644">
        <v>0.29117410155377815</v>
      </c>
      <c r="J644" s="2">
        <v>-0.1081758366352805</v>
      </c>
      <c r="K644">
        <f t="shared" si="15"/>
        <v>0.21000000000000085</v>
      </c>
      <c r="L644" s="2">
        <v>-0.004193236671091316</v>
      </c>
      <c r="Q644">
        <v>-0.128631822200452</v>
      </c>
      <c r="R644">
        <f t="shared" si="16"/>
        <v>0.21000000000000085</v>
      </c>
      <c r="S644">
        <v>0.0015661838062701293</v>
      </c>
    </row>
    <row r="645" spans="1:19" ht="12.75">
      <c r="A645" s="1">
        <f>DATE(1984,6,1)</f>
        <v>30834</v>
      </c>
      <c r="B645">
        <v>1984</v>
      </c>
      <c r="C645">
        <v>6</v>
      </c>
      <c r="D645">
        <v>9.94</v>
      </c>
      <c r="H645">
        <v>0.25571229110602056</v>
      </c>
      <c r="J645" s="2">
        <v>-0.1050176791084865</v>
      </c>
      <c r="K645">
        <f t="shared" si="15"/>
        <v>0.03999999999999915</v>
      </c>
      <c r="L645" s="2">
        <v>-0.0010909223993205196</v>
      </c>
      <c r="Q645">
        <v>-0.12557844207297214</v>
      </c>
      <c r="R645">
        <f t="shared" si="16"/>
        <v>0.03999999999999915</v>
      </c>
      <c r="S645">
        <v>0.0015200980964620546</v>
      </c>
    </row>
    <row r="646" spans="1:19" ht="12.75">
      <c r="A646" s="1">
        <f>DATE(1984,7,1)</f>
        <v>30864</v>
      </c>
      <c r="B646">
        <v>1984</v>
      </c>
      <c r="C646">
        <v>7</v>
      </c>
      <c r="D646">
        <v>10.13</v>
      </c>
      <c r="H646">
        <v>0.2219450815801696</v>
      </c>
      <c r="J646" s="2">
        <v>-0.10166673258626502</v>
      </c>
      <c r="K646">
        <f t="shared" si="15"/>
        <v>0.19000000000000128</v>
      </c>
      <c r="L646" s="2">
        <v>-0.002047571569536478</v>
      </c>
      <c r="Q646">
        <v>-0.12240596452471038</v>
      </c>
      <c r="R646">
        <f t="shared" si="16"/>
        <v>0.19000000000000128</v>
      </c>
      <c r="S646">
        <v>-0.0001748123744359388</v>
      </c>
    </row>
    <row r="647" spans="1:19" ht="12.75">
      <c r="A647" s="1">
        <f>DATE(1984,8,1)</f>
        <v>30895</v>
      </c>
      <c r="B647">
        <v>1984</v>
      </c>
      <c r="C647">
        <v>8</v>
      </c>
      <c r="D647">
        <v>10.49</v>
      </c>
      <c r="H647">
        <v>0.18594491602314775</v>
      </c>
      <c r="J647" s="2">
        <v>-0.09807729526350538</v>
      </c>
      <c r="K647">
        <f t="shared" si="15"/>
        <v>0.35999999999999943</v>
      </c>
      <c r="L647" s="2">
        <v>0.0004134650120803057</v>
      </c>
      <c r="Q647">
        <v>-0.11890706727959072</v>
      </c>
      <c r="R647">
        <f t="shared" si="16"/>
        <v>0.35999999999999943</v>
      </c>
      <c r="S647">
        <v>-0.004965750633812103</v>
      </c>
    </row>
    <row r="648" spans="1:19" ht="12.75">
      <c r="A648" s="1">
        <f>DATE(1984,9,1)</f>
        <v>30926</v>
      </c>
      <c r="B648">
        <v>1984</v>
      </c>
      <c r="C648">
        <v>9</v>
      </c>
      <c r="D648">
        <v>10.41</v>
      </c>
      <c r="H648">
        <v>0.14932633448743177</v>
      </c>
      <c r="J648" s="2">
        <v>-0.0945410713461421</v>
      </c>
      <c r="K648">
        <f t="shared" si="15"/>
        <v>-0.08000000000000007</v>
      </c>
      <c r="L648" s="2">
        <v>-0.00023335396957582005</v>
      </c>
      <c r="Q648">
        <v>-0.11541726345749323</v>
      </c>
      <c r="R648">
        <f t="shared" si="16"/>
        <v>-0.08000000000000007</v>
      </c>
      <c r="S648">
        <v>8.837805397237778E-05</v>
      </c>
    </row>
    <row r="649" spans="1:19" ht="12.75">
      <c r="A649" s="1">
        <f>DATE(1984,10,1)</f>
        <v>30956</v>
      </c>
      <c r="B649">
        <v>1984</v>
      </c>
      <c r="C649">
        <v>10</v>
      </c>
      <c r="D649">
        <v>9.97</v>
      </c>
      <c r="H649">
        <v>0.11378099836138786</v>
      </c>
      <c r="J649" s="2">
        <v>-0.09122506101189987</v>
      </c>
      <c r="K649">
        <f t="shared" si="15"/>
        <v>-0.4399999999999995</v>
      </c>
      <c r="L649" s="2">
        <v>-0.004580933974581686</v>
      </c>
      <c r="Q649">
        <v>-0.11224808778223884</v>
      </c>
      <c r="R649">
        <f t="shared" si="16"/>
        <v>-0.4399999999999995</v>
      </c>
      <c r="S649">
        <v>0.002567619857731671</v>
      </c>
    </row>
    <row r="650" spans="1:19" ht="12.75">
      <c r="A650" s="1">
        <f>DATE(1984,11,1)</f>
        <v>30987</v>
      </c>
      <c r="B650">
        <v>1984</v>
      </c>
      <c r="C650">
        <v>11</v>
      </c>
      <c r="D650">
        <v>8.79</v>
      </c>
      <c r="H650">
        <v>0.08787523491364592</v>
      </c>
      <c r="J650" s="2">
        <v>-0.08867248252988368</v>
      </c>
      <c r="K650">
        <f t="shared" si="15"/>
        <v>-1.1800000000000015</v>
      </c>
      <c r="L650" s="2">
        <v>-0.0025034105680660544</v>
      </c>
      <c r="Q650">
        <v>-0.10977034862672119</v>
      </c>
      <c r="R650">
        <f t="shared" si="16"/>
        <v>-1.1800000000000015</v>
      </c>
      <c r="S650">
        <v>-0.002085934820178375</v>
      </c>
    </row>
    <row r="651" spans="1:19" ht="12.75">
      <c r="A651" s="1">
        <f>DATE(1984,12,1)</f>
        <v>31017</v>
      </c>
      <c r="B651">
        <v>1984</v>
      </c>
      <c r="C651">
        <v>12</v>
      </c>
      <c r="D651">
        <v>8.16</v>
      </c>
      <c r="H651">
        <v>0.068442035013619</v>
      </c>
      <c r="J651" s="2">
        <v>-0.08660586512996295</v>
      </c>
      <c r="K651">
        <f t="shared" si="15"/>
        <v>-0.629999999999999</v>
      </c>
      <c r="L651" s="2">
        <v>0.0007409945860520425</v>
      </c>
      <c r="Q651">
        <v>-0.10761218138418226</v>
      </c>
      <c r="R651">
        <f t="shared" si="16"/>
        <v>-0.629999999999999</v>
      </c>
      <c r="S651">
        <v>-0.002017156187604587</v>
      </c>
    </row>
    <row r="652" spans="1:19" ht="12.75">
      <c r="A652" s="1">
        <f>DATE(1985,1,1)</f>
        <v>31048</v>
      </c>
      <c r="B652">
        <v>1985</v>
      </c>
      <c r="C652">
        <v>1</v>
      </c>
      <c r="D652">
        <v>7.76</v>
      </c>
      <c r="H652">
        <v>0.054701014007967785</v>
      </c>
      <c r="J652" s="2">
        <v>-0.08476481492466115</v>
      </c>
      <c r="K652">
        <f t="shared" si="15"/>
        <v>-0.40000000000000036</v>
      </c>
      <c r="L652" s="2">
        <v>-0.004402588471704712</v>
      </c>
      <c r="Q652">
        <v>-0.10571315823333648</v>
      </c>
      <c r="R652">
        <f t="shared" si="16"/>
        <v>-0.40000000000000036</v>
      </c>
      <c r="S652">
        <v>0.002771849839013028</v>
      </c>
    </row>
    <row r="653" spans="1:19" ht="12.75">
      <c r="A653" s="1">
        <f>DATE(1985,2,1)</f>
        <v>31079</v>
      </c>
      <c r="B653">
        <v>1985</v>
      </c>
      <c r="C653">
        <v>2</v>
      </c>
      <c r="D653">
        <v>8.17</v>
      </c>
      <c r="H653">
        <v>0.039659654820090755</v>
      </c>
      <c r="J653" s="2">
        <v>-0.08262639202391309</v>
      </c>
      <c r="K653">
        <f t="shared" si="15"/>
        <v>0.41000000000000014</v>
      </c>
      <c r="L653" s="2">
        <v>-0.005071154553865319</v>
      </c>
      <c r="Q653">
        <v>-0.1035741775501643</v>
      </c>
      <c r="R653">
        <f t="shared" si="16"/>
        <v>0.41000000000000014</v>
      </c>
      <c r="S653">
        <v>-0.0005894381192262833</v>
      </c>
    </row>
    <row r="654" spans="1:19" ht="12.75">
      <c r="A654" s="1">
        <f>DATE(1985,3,1)</f>
        <v>31107</v>
      </c>
      <c r="B654">
        <v>1985</v>
      </c>
      <c r="C654">
        <v>3</v>
      </c>
      <c r="D654">
        <v>8.57</v>
      </c>
      <c r="H654">
        <v>0.020596469018308895</v>
      </c>
      <c r="J654" s="2">
        <v>-0.08017503133153121</v>
      </c>
      <c r="K654">
        <f t="shared" si="15"/>
        <v>0.40000000000000036</v>
      </c>
      <c r="L654" s="2">
        <v>-3.6817402288157596E-05</v>
      </c>
      <c r="Q654">
        <v>-0.10117864132834134</v>
      </c>
      <c r="R654">
        <f t="shared" si="16"/>
        <v>0.40000000000000036</v>
      </c>
      <c r="S654">
        <v>-0.0010391800601670079</v>
      </c>
    </row>
    <row r="655" spans="1:19" ht="12.75">
      <c r="A655" s="1">
        <f>DATE(1985,4,1)</f>
        <v>31138</v>
      </c>
      <c r="B655">
        <v>1985</v>
      </c>
      <c r="C655">
        <v>4</v>
      </c>
      <c r="D655">
        <v>8</v>
      </c>
      <c r="H655">
        <v>0.006321417481880455</v>
      </c>
      <c r="J655" s="2">
        <v>-0.07821432473991295</v>
      </c>
      <c r="K655">
        <f t="shared" si="15"/>
        <v>-0.5700000000000003</v>
      </c>
      <c r="L655" s="2">
        <v>0.002283344779540395</v>
      </c>
      <c r="Q655">
        <v>-0.09914054610188222</v>
      </c>
      <c r="R655">
        <f t="shared" si="16"/>
        <v>-0.5700000000000003</v>
      </c>
      <c r="S655">
        <v>9.75169106514679E-05</v>
      </c>
    </row>
    <row r="656" spans="1:19" ht="12.75">
      <c r="A656" s="1">
        <f>DATE(1985,5,1)</f>
        <v>31168</v>
      </c>
      <c r="B656">
        <v>1985</v>
      </c>
      <c r="C656">
        <v>5</v>
      </c>
      <c r="D656">
        <v>7.56</v>
      </c>
      <c r="H656">
        <v>-0.005127030313311926</v>
      </c>
      <c r="J656" s="2">
        <v>-0.07661492042949017</v>
      </c>
      <c r="K656">
        <f t="shared" si="15"/>
        <v>-0.4400000000000004</v>
      </c>
      <c r="L656" s="2">
        <v>-0.0015961765125089027</v>
      </c>
      <c r="Q656">
        <v>-0.09734926361331661</v>
      </c>
      <c r="R656">
        <f t="shared" si="16"/>
        <v>-0.4400000000000004</v>
      </c>
      <c r="S656">
        <v>0.0009924339332951278</v>
      </c>
    </row>
    <row r="657" spans="1:19" ht="12.75">
      <c r="A657" s="1">
        <f>DATE(1985,6,1)</f>
        <v>31199</v>
      </c>
      <c r="B657">
        <v>1985</v>
      </c>
      <c r="C657">
        <v>6</v>
      </c>
      <c r="D657">
        <v>7.01</v>
      </c>
      <c r="H657">
        <v>-0.010920564265720918</v>
      </c>
      <c r="J657" s="2">
        <v>-0.07552502131992704</v>
      </c>
      <c r="K657">
        <f t="shared" si="15"/>
        <v>-0.5499999999999998</v>
      </c>
      <c r="L657" s="2">
        <v>0.001696229107577017</v>
      </c>
      <c r="Q657">
        <v>-0.09590873314439484</v>
      </c>
      <c r="R657">
        <f t="shared" si="16"/>
        <v>-0.5499999999999998</v>
      </c>
      <c r="S657">
        <v>-0.0005293221531448499</v>
      </c>
    </row>
    <row r="658" spans="1:19" ht="12.75">
      <c r="A658" s="1">
        <f>DATE(1985,7,1)</f>
        <v>31229</v>
      </c>
      <c r="B658">
        <v>1985</v>
      </c>
      <c r="C658">
        <v>7</v>
      </c>
      <c r="D658">
        <v>7.05</v>
      </c>
      <c r="H658">
        <v>-0.01613678424834414</v>
      </c>
      <c r="J658" s="2">
        <v>-0.074407341800236</v>
      </c>
      <c r="K658">
        <f t="shared" si="15"/>
        <v>0.040000000000000036</v>
      </c>
      <c r="L658" s="2">
        <v>-0.0009141720071109817</v>
      </c>
      <c r="Q658">
        <v>-0.09447218684499198</v>
      </c>
      <c r="R658">
        <f t="shared" si="16"/>
        <v>0.040000000000000036</v>
      </c>
      <c r="S658">
        <v>0.0007305550143935891</v>
      </c>
    </row>
    <row r="659" spans="1:19" ht="12.75">
      <c r="A659" s="1">
        <f>DATE(1985,8,1)</f>
        <v>31260</v>
      </c>
      <c r="B659">
        <v>1985</v>
      </c>
      <c r="C659">
        <v>8</v>
      </c>
      <c r="D659">
        <v>7.18</v>
      </c>
      <c r="H659">
        <v>-0.020885122618396347</v>
      </c>
      <c r="J659" s="2">
        <v>-0.07311608909158376</v>
      </c>
      <c r="K659">
        <f t="shared" si="15"/>
        <v>0.1299999999999999</v>
      </c>
      <c r="L659" s="2">
        <v>-0.0011914970602282739</v>
      </c>
      <c r="Q659">
        <v>-0.09297153212575793</v>
      </c>
      <c r="R659">
        <f t="shared" si="16"/>
        <v>0.1299999999999999</v>
      </c>
      <c r="S659">
        <v>9.508685043258035E-05</v>
      </c>
    </row>
    <row r="660" spans="1:19" ht="12.75">
      <c r="A660" s="1">
        <f>DATE(1985,9,1)</f>
        <v>31291</v>
      </c>
      <c r="B660">
        <v>1985</v>
      </c>
      <c r="C660">
        <v>9</v>
      </c>
      <c r="D660">
        <v>7.08</v>
      </c>
      <c r="H660">
        <v>-0.02357800031837348</v>
      </c>
      <c r="J660" s="2">
        <v>-0.07197818562225632</v>
      </c>
      <c r="K660">
        <f t="shared" si="15"/>
        <v>-0.09999999999999964</v>
      </c>
      <c r="L660" s="2">
        <v>0.004190027073431579</v>
      </c>
      <c r="Q660">
        <v>-0.09150504813417489</v>
      </c>
      <c r="R660">
        <f t="shared" si="16"/>
        <v>-0.09999999999999964</v>
      </c>
      <c r="S660">
        <v>0.0015496149731689668</v>
      </c>
    </row>
    <row r="661" spans="1:19" ht="12.75">
      <c r="A661" s="1">
        <f>DATE(1985,10,1)</f>
        <v>31321</v>
      </c>
      <c r="B661">
        <v>1985</v>
      </c>
      <c r="C661">
        <v>10</v>
      </c>
      <c r="D661">
        <v>7.17</v>
      </c>
      <c r="H661">
        <v>-0.026117064603817464</v>
      </c>
      <c r="J661" s="2">
        <v>-0.07072040459821426</v>
      </c>
      <c r="K661">
        <f t="shared" si="15"/>
        <v>0.08999999999999986</v>
      </c>
      <c r="L661" s="2">
        <v>-0.0016933885598525878</v>
      </c>
      <c r="Q661">
        <v>-0.0900464459351732</v>
      </c>
      <c r="R661">
        <f t="shared" si="16"/>
        <v>0.08999999999999986</v>
      </c>
      <c r="S661">
        <v>0.003035405327913339</v>
      </c>
    </row>
    <row r="662" spans="1:19" ht="12.75">
      <c r="A662" s="1">
        <f>DATE(1985,11,1)</f>
        <v>31352</v>
      </c>
      <c r="B662">
        <v>1985</v>
      </c>
      <c r="C662">
        <v>11</v>
      </c>
      <c r="D662">
        <v>7.2</v>
      </c>
      <c r="H662">
        <v>-0.027953019953803976</v>
      </c>
      <c r="J662" s="2">
        <v>-0.06932454227194533</v>
      </c>
      <c r="K662">
        <f t="shared" si="15"/>
        <v>0.03000000000000025</v>
      </c>
      <c r="L662" s="2">
        <v>-0.0008966035090630434</v>
      </c>
      <c r="Q662">
        <v>-0.08852832108149106</v>
      </c>
      <c r="R662">
        <f t="shared" si="16"/>
        <v>0.03000000000000025</v>
      </c>
      <c r="S662">
        <v>-0.0005077728202795593</v>
      </c>
    </row>
    <row r="663" spans="1:19" ht="12.75">
      <c r="A663" s="1">
        <f>DATE(1985,12,1)</f>
        <v>31382</v>
      </c>
      <c r="B663">
        <v>1985</v>
      </c>
      <c r="C663">
        <v>12</v>
      </c>
      <c r="D663">
        <v>7.07</v>
      </c>
      <c r="H663">
        <v>-0.026874037450026218</v>
      </c>
      <c r="J663" s="2">
        <v>-0.06810014771525515</v>
      </c>
      <c r="K663">
        <f t="shared" si="15"/>
        <v>-0.1299999999999999</v>
      </c>
      <c r="L663" s="2">
        <v>0.004283046113844696</v>
      </c>
      <c r="Q663">
        <v>-0.0870046957196815</v>
      </c>
      <c r="R663">
        <f t="shared" si="16"/>
        <v>-0.1299999999999999</v>
      </c>
      <c r="S663">
        <v>-0.002617790122085317</v>
      </c>
    </row>
    <row r="664" spans="1:19" ht="12.75">
      <c r="A664" s="1">
        <f>DATE(1986,1,1)</f>
        <v>31413</v>
      </c>
      <c r="B664">
        <v>1986</v>
      </c>
      <c r="C664">
        <v>1</v>
      </c>
      <c r="D664">
        <v>7.04</v>
      </c>
      <c r="H664">
        <v>-0.023853221305076104</v>
      </c>
      <c r="J664" s="2">
        <v>-0.06682841739451498</v>
      </c>
      <c r="K664">
        <f t="shared" si="15"/>
        <v>-0.03000000000000025</v>
      </c>
      <c r="L664" s="2">
        <v>-0.0031752469785647237</v>
      </c>
      <c r="Q664">
        <v>-0.0855002012745306</v>
      </c>
      <c r="R664">
        <f t="shared" si="16"/>
        <v>-0.03000000000000025</v>
      </c>
      <c r="S664">
        <v>0.00238839225946721</v>
      </c>
    </row>
    <row r="665" spans="1:19" ht="12.75">
      <c r="A665" s="1">
        <f>DATE(1986,2,1)</f>
        <v>31444</v>
      </c>
      <c r="B665">
        <v>1986</v>
      </c>
      <c r="C665">
        <v>2</v>
      </c>
      <c r="D665">
        <v>7.03</v>
      </c>
      <c r="H665">
        <v>-0.019669989715919798</v>
      </c>
      <c r="J665" s="2">
        <v>-0.06546894371855774</v>
      </c>
      <c r="K665">
        <f t="shared" si="15"/>
        <v>-0.009999999999999787</v>
      </c>
      <c r="L665" s="2">
        <v>-0.0015413910397706295</v>
      </c>
      <c r="Q665">
        <v>-0.08401261620742984</v>
      </c>
      <c r="R665">
        <f t="shared" si="16"/>
        <v>-0.009999999999999787</v>
      </c>
      <c r="S665">
        <v>0.0023144029001354073</v>
      </c>
    </row>
    <row r="666" spans="1:19" ht="12.75">
      <c r="A666" s="1">
        <f>DATE(1986,3,1)</f>
        <v>31472</v>
      </c>
      <c r="B666">
        <v>1986</v>
      </c>
      <c r="C666">
        <v>3</v>
      </c>
      <c r="D666">
        <v>6.59</v>
      </c>
      <c r="H666">
        <v>-0.01190173590490342</v>
      </c>
      <c r="J666" s="2">
        <v>-0.064465813888366</v>
      </c>
      <c r="K666">
        <f t="shared" si="15"/>
        <v>-0.4400000000000004</v>
      </c>
      <c r="L666" s="2">
        <v>0.0009542603000889618</v>
      </c>
      <c r="Q666">
        <v>-0.08279799365664528</v>
      </c>
      <c r="R666">
        <f t="shared" si="16"/>
        <v>-0.4400000000000004</v>
      </c>
      <c r="S666">
        <v>-0.0008962416985265926</v>
      </c>
    </row>
    <row r="667" spans="1:19" ht="12.75">
      <c r="A667" s="1">
        <f>DATE(1986,4,1)</f>
        <v>31503</v>
      </c>
      <c r="B667">
        <v>1986</v>
      </c>
      <c r="C667">
        <v>4</v>
      </c>
      <c r="D667">
        <v>6.06</v>
      </c>
      <c r="H667">
        <v>0.001896541080450182</v>
      </c>
      <c r="J667" s="2">
        <v>-0.06388759076817101</v>
      </c>
      <c r="K667">
        <f t="shared" si="15"/>
        <v>-0.5300000000000002</v>
      </c>
      <c r="L667" s="2">
        <v>0.0025762032889759152</v>
      </c>
      <c r="Q667">
        <v>-0.08195009523615439</v>
      </c>
      <c r="R667">
        <f t="shared" si="16"/>
        <v>-0.5300000000000002</v>
      </c>
      <c r="S667">
        <v>0.0003052088658013602</v>
      </c>
    </row>
    <row r="668" spans="1:19" ht="12.75">
      <c r="A668" s="1">
        <f>DATE(1986,5,1)</f>
        <v>31533</v>
      </c>
      <c r="B668">
        <v>1986</v>
      </c>
      <c r="C668">
        <v>5</v>
      </c>
      <c r="D668">
        <v>6.12</v>
      </c>
      <c r="H668">
        <v>0.01704114953029828</v>
      </c>
      <c r="J668" s="2">
        <v>-0.06322722609156751</v>
      </c>
      <c r="K668">
        <f t="shared" si="15"/>
        <v>0.0600000000000005</v>
      </c>
      <c r="L668" s="2">
        <v>-0.000826793407424987</v>
      </c>
      <c r="Q668">
        <v>-0.0810269723234653</v>
      </c>
      <c r="R668">
        <f t="shared" si="16"/>
        <v>0.0600000000000005</v>
      </c>
      <c r="S668">
        <v>0.00072076447689459</v>
      </c>
    </row>
    <row r="669" spans="1:19" ht="12.75">
      <c r="A669" s="1">
        <f>DATE(1986,6,1)</f>
        <v>31564</v>
      </c>
      <c r="B669">
        <v>1986</v>
      </c>
      <c r="C669">
        <v>6</v>
      </c>
      <c r="D669">
        <v>6.21</v>
      </c>
      <c r="H669">
        <v>0.03191123228186893</v>
      </c>
      <c r="J669" s="2">
        <v>-0.06261063283625487</v>
      </c>
      <c r="K669">
        <f t="shared" si="15"/>
        <v>0.08999999999999986</v>
      </c>
      <c r="L669" s="2">
        <v>0.003965624299394052</v>
      </c>
      <c r="Q669">
        <v>-0.08000444743374714</v>
      </c>
      <c r="R669">
        <f t="shared" si="16"/>
        <v>0.08999999999999986</v>
      </c>
      <c r="S669">
        <v>-0.0007760132432676546</v>
      </c>
    </row>
    <row r="670" spans="1:19" ht="12.75">
      <c r="A670" s="1">
        <f>DATE(1986,7,1)</f>
        <v>31594</v>
      </c>
      <c r="B670">
        <v>1986</v>
      </c>
      <c r="C670">
        <v>7</v>
      </c>
      <c r="D670">
        <v>5.84</v>
      </c>
      <c r="H670">
        <v>0.0489043567343471</v>
      </c>
      <c r="J670" s="2">
        <v>-0.06227110350107219</v>
      </c>
      <c r="K670">
        <f t="shared" si="15"/>
        <v>-0.3700000000000001</v>
      </c>
      <c r="L670" s="2">
        <v>0.0005776037571742632</v>
      </c>
      <c r="Q670">
        <v>-0.07922833893985101</v>
      </c>
      <c r="R670">
        <f t="shared" si="16"/>
        <v>-0.3700000000000001</v>
      </c>
      <c r="S670">
        <v>-0.00017561340926234485</v>
      </c>
    </row>
    <row r="671" spans="1:19" ht="12.75">
      <c r="A671" s="1">
        <f>DATE(1986,8,1)</f>
        <v>31625</v>
      </c>
      <c r="B671">
        <v>1986</v>
      </c>
      <c r="C671">
        <v>8</v>
      </c>
      <c r="D671">
        <v>5.57</v>
      </c>
      <c r="H671">
        <v>0.06624827472705218</v>
      </c>
      <c r="J671" s="2">
        <v>-0.0621815570105139</v>
      </c>
      <c r="K671">
        <f t="shared" si="15"/>
        <v>-0.2699999999999996</v>
      </c>
      <c r="L671" s="2">
        <v>0.002727726754823721</v>
      </c>
      <c r="Q671">
        <v>-0.07858362145372169</v>
      </c>
      <c r="R671">
        <f t="shared" si="16"/>
        <v>-0.2699999999999996</v>
      </c>
      <c r="S671">
        <v>-0.0012978542499438668</v>
      </c>
    </row>
    <row r="672" spans="1:19" ht="12.75">
      <c r="A672" s="1">
        <f>DATE(1986,9,1)</f>
        <v>31656</v>
      </c>
      <c r="B672">
        <v>1986</v>
      </c>
      <c r="C672">
        <v>9</v>
      </c>
      <c r="D672">
        <v>5.19</v>
      </c>
      <c r="H672">
        <v>0.08713213100693658</v>
      </c>
      <c r="J672" s="2">
        <v>-0.06238201343993223</v>
      </c>
      <c r="K672">
        <f t="shared" si="15"/>
        <v>-0.3799999999999999</v>
      </c>
      <c r="L672" s="2">
        <v>0.00038956915736544623</v>
      </c>
      <c r="Q672">
        <v>-0.07811072868980894</v>
      </c>
      <c r="R672">
        <f t="shared" si="16"/>
        <v>-0.3799999999999999</v>
      </c>
      <c r="S672">
        <v>-0.0016754303054295813</v>
      </c>
    </row>
    <row r="673" spans="1:19" ht="12.75">
      <c r="A673" s="1">
        <f>DATE(1986,10,1)</f>
        <v>31686</v>
      </c>
      <c r="B673">
        <v>1986</v>
      </c>
      <c r="C673">
        <v>10</v>
      </c>
      <c r="D673">
        <v>5.18</v>
      </c>
      <c r="H673">
        <v>0.10948768948029322</v>
      </c>
      <c r="J673" s="2">
        <v>-0.062476293375075966</v>
      </c>
      <c r="K673">
        <f t="shared" si="15"/>
        <v>-0.010000000000000675</v>
      </c>
      <c r="L673" s="2">
        <v>-0.0030689721766783717</v>
      </c>
      <c r="Q673">
        <v>-0.07766466327249713</v>
      </c>
      <c r="R673">
        <f t="shared" si="16"/>
        <v>-0.010000000000000675</v>
      </c>
      <c r="S673">
        <v>0.0006810430385636358</v>
      </c>
    </row>
    <row r="674" spans="1:19" ht="12.75">
      <c r="A674" s="1">
        <f>DATE(1986,11,1)</f>
        <v>31717</v>
      </c>
      <c r="B674">
        <v>1986</v>
      </c>
      <c r="C674">
        <v>11</v>
      </c>
      <c r="D674">
        <v>5.35</v>
      </c>
      <c r="H674">
        <v>0.1310840399911313</v>
      </c>
      <c r="J674" s="2">
        <v>-0.062198536738168615</v>
      </c>
      <c r="K674">
        <f t="shared" si="15"/>
        <v>0.16999999999999993</v>
      </c>
      <c r="L674" s="2">
        <v>-0.0058551858181788855</v>
      </c>
      <c r="Q674">
        <v>-0.07709245098810323</v>
      </c>
      <c r="R674">
        <f t="shared" si="16"/>
        <v>0.16999999999999993</v>
      </c>
      <c r="S674">
        <v>-0.0010893118117888136</v>
      </c>
    </row>
    <row r="675" spans="1:19" ht="12.75">
      <c r="A675" s="1">
        <f>DATE(1986,12,1)</f>
        <v>31747</v>
      </c>
      <c r="B675">
        <v>1986</v>
      </c>
      <c r="C675">
        <v>12</v>
      </c>
      <c r="D675">
        <v>5.49</v>
      </c>
      <c r="H675">
        <v>0.15061943923006899</v>
      </c>
      <c r="J675" s="2">
        <v>-0.06168855531446229</v>
      </c>
      <c r="K675">
        <f t="shared" si="15"/>
        <v>0.14000000000000057</v>
      </c>
      <c r="L675" s="2">
        <v>-0.0009096452940510087</v>
      </c>
      <c r="Q675">
        <v>-0.07635673239675776</v>
      </c>
      <c r="R675">
        <f t="shared" si="16"/>
        <v>0.14000000000000057</v>
      </c>
      <c r="S675">
        <v>-0.0027267433932130786</v>
      </c>
    </row>
    <row r="676" spans="1:19" ht="12.75">
      <c r="A676" s="1">
        <f>DATE(1987,1,1)</f>
        <v>31778</v>
      </c>
      <c r="B676">
        <v>1987</v>
      </c>
      <c r="C676">
        <v>1</v>
      </c>
      <c r="D676">
        <v>5.45</v>
      </c>
      <c r="H676">
        <v>0.1694972377049237</v>
      </c>
      <c r="J676" s="2">
        <v>-0.06113039608621602</v>
      </c>
      <c r="K676">
        <f t="shared" si="15"/>
        <v>-0.040000000000000036</v>
      </c>
      <c r="L676" s="2">
        <v>-0.0028877416523254125</v>
      </c>
      <c r="Q676">
        <v>-0.07562858271000879</v>
      </c>
      <c r="R676">
        <f t="shared" si="16"/>
        <v>-0.040000000000000036</v>
      </c>
      <c r="S676">
        <v>0.0007052987928738561</v>
      </c>
    </row>
    <row r="677" spans="1:19" ht="12.75">
      <c r="A677" s="1">
        <f>DATE(1987,2,1)</f>
        <v>31809</v>
      </c>
      <c r="B677">
        <v>1987</v>
      </c>
      <c r="C677">
        <v>2</v>
      </c>
      <c r="D677">
        <v>5.59</v>
      </c>
      <c r="H677">
        <v>0.18608731909881143</v>
      </c>
      <c r="J677" s="2">
        <v>-0.060394663254708006</v>
      </c>
      <c r="K677">
        <f t="shared" si="15"/>
        <v>0.13999999999999968</v>
      </c>
      <c r="L677" s="2">
        <v>-0.004551061599555226</v>
      </c>
      <c r="Q677">
        <v>-0.07477689705408676</v>
      </c>
      <c r="R677">
        <f t="shared" si="16"/>
        <v>0.13999999999999968</v>
      </c>
      <c r="S677">
        <v>-0.0011900608341663197</v>
      </c>
    </row>
    <row r="678" spans="1:19" ht="12.75">
      <c r="A678" s="1">
        <f>DATE(1987,3,1)</f>
        <v>31837</v>
      </c>
      <c r="B678">
        <v>1987</v>
      </c>
      <c r="C678">
        <v>3</v>
      </c>
      <c r="D678">
        <v>5.56</v>
      </c>
      <c r="H678">
        <v>0.20259684572640768</v>
      </c>
      <c r="J678" s="2">
        <v>-0.059669620098586965</v>
      </c>
      <c r="K678">
        <f t="shared" si="15"/>
        <v>-0.03000000000000025</v>
      </c>
      <c r="L678" s="2">
        <v>-0.0010142463751147</v>
      </c>
      <c r="Q678">
        <v>-0.07394803015549968</v>
      </c>
      <c r="R678">
        <f t="shared" si="16"/>
        <v>-0.03000000000000025</v>
      </c>
      <c r="S678">
        <v>-0.0009535430308373595</v>
      </c>
    </row>
    <row r="679" spans="1:19" ht="12.75">
      <c r="A679" s="1">
        <f>DATE(1987,4,1)</f>
        <v>31868</v>
      </c>
      <c r="B679">
        <v>1987</v>
      </c>
      <c r="C679">
        <v>4</v>
      </c>
      <c r="D679">
        <v>5.76</v>
      </c>
      <c r="H679">
        <v>0.21681841114866704</v>
      </c>
      <c r="J679" s="2">
        <v>-0.05884376115704841</v>
      </c>
      <c r="K679">
        <f t="shared" si="15"/>
        <v>0.20000000000000018</v>
      </c>
      <c r="L679" s="2">
        <v>0.0004923067536709127</v>
      </c>
      <c r="Q679">
        <v>-0.07303054936153017</v>
      </c>
      <c r="R679">
        <f t="shared" si="16"/>
        <v>0.20000000000000018</v>
      </c>
      <c r="S679">
        <v>-3.2438100440429394E-05</v>
      </c>
    </row>
    <row r="680" spans="1:19" ht="12.75">
      <c r="A680" s="1">
        <f>DATE(1987,5,1)</f>
        <v>31898</v>
      </c>
      <c r="B680">
        <v>1987</v>
      </c>
      <c r="C680">
        <v>5</v>
      </c>
      <c r="D680">
        <v>5.75</v>
      </c>
      <c r="H680">
        <v>0.22972847644515704</v>
      </c>
      <c r="J680" s="2">
        <v>-0.058093243522817535</v>
      </c>
      <c r="K680">
        <f t="shared" si="15"/>
        <v>-0.009999999999999787</v>
      </c>
      <c r="L680" s="2">
        <v>0.0016403714914276619</v>
      </c>
      <c r="Q680">
        <v>-0.07211732099518345</v>
      </c>
      <c r="R680">
        <f t="shared" si="16"/>
        <v>-0.009999999999999787</v>
      </c>
      <c r="S680">
        <v>-0.00045254627523072077</v>
      </c>
    </row>
    <row r="681" spans="1:19" ht="12.75">
      <c r="A681" s="1">
        <f>DATE(1987,6,1)</f>
        <v>31929</v>
      </c>
      <c r="B681">
        <v>1987</v>
      </c>
      <c r="C681">
        <v>6</v>
      </c>
      <c r="D681">
        <v>5.69</v>
      </c>
      <c r="H681">
        <v>0.24277748553454948</v>
      </c>
      <c r="J681" s="2">
        <v>-0.05754789483221558</v>
      </c>
      <c r="K681">
        <f t="shared" si="15"/>
        <v>-0.05999999999999961</v>
      </c>
      <c r="L681" s="2">
        <v>0.00015973070809561485</v>
      </c>
      <c r="Q681">
        <v>-0.0712122280755556</v>
      </c>
      <c r="R681">
        <f t="shared" si="16"/>
        <v>-0.05999999999999961</v>
      </c>
      <c r="S681">
        <v>-0.0009093452438126198</v>
      </c>
    </row>
    <row r="682" spans="1:19" ht="12.75">
      <c r="A682" s="1">
        <f>DATE(1987,7,1)</f>
        <v>31959</v>
      </c>
      <c r="B682">
        <v>1987</v>
      </c>
      <c r="C682">
        <v>7</v>
      </c>
      <c r="D682">
        <v>5.78</v>
      </c>
      <c r="H682">
        <v>0.2560083264873364</v>
      </c>
      <c r="J682" s="2">
        <v>-0.05699420730739718</v>
      </c>
      <c r="K682">
        <f t="shared" si="15"/>
        <v>0.08999999999999986</v>
      </c>
      <c r="L682" s="2">
        <v>-0.0009247569204165986</v>
      </c>
      <c r="Q682">
        <v>-0.07030403488548921</v>
      </c>
      <c r="R682">
        <f t="shared" si="16"/>
        <v>0.08999999999999986</v>
      </c>
      <c r="S682">
        <v>0.0007422231405848446</v>
      </c>
    </row>
    <row r="683" spans="1:19" ht="12.75">
      <c r="A683" s="1">
        <f>DATE(1987,8,1)</f>
        <v>31990</v>
      </c>
      <c r="B683">
        <v>1987</v>
      </c>
      <c r="C683">
        <v>8</v>
      </c>
      <c r="D683">
        <v>6</v>
      </c>
      <c r="H683">
        <v>0.2676821648030247</v>
      </c>
      <c r="J683" s="2">
        <v>-0.05638334193915102</v>
      </c>
      <c r="K683">
        <f t="shared" si="15"/>
        <v>0.21999999999999975</v>
      </c>
      <c r="L683" s="2">
        <v>0.002858735889424475</v>
      </c>
      <c r="Q683">
        <v>-0.06936466222718263</v>
      </c>
      <c r="R683">
        <f t="shared" si="16"/>
        <v>0.21999999999999975</v>
      </c>
      <c r="S683">
        <v>0.0018522106017234282</v>
      </c>
    </row>
    <row r="684" spans="1:19" ht="12.75">
      <c r="A684" s="1">
        <f>DATE(1987,9,1)</f>
        <v>32021</v>
      </c>
      <c r="B684">
        <v>1987</v>
      </c>
      <c r="C684">
        <v>9</v>
      </c>
      <c r="D684">
        <v>6.32</v>
      </c>
      <c r="H684">
        <v>0.27539280965578883</v>
      </c>
      <c r="J684" s="2">
        <v>-0.055569357124362506</v>
      </c>
      <c r="K684">
        <f t="shared" si="15"/>
        <v>0.3200000000000003</v>
      </c>
      <c r="L684" s="2">
        <v>-0.0005109648214174805</v>
      </c>
      <c r="Q684">
        <v>-0.06820462962197206</v>
      </c>
      <c r="R684">
        <f t="shared" si="16"/>
        <v>0.3200000000000003</v>
      </c>
      <c r="S684">
        <v>0.0009683972873851319</v>
      </c>
    </row>
    <row r="685" spans="1:19" ht="12.75">
      <c r="A685" s="1">
        <f>DATE(1987,10,1)</f>
        <v>32051</v>
      </c>
      <c r="B685">
        <v>1987</v>
      </c>
      <c r="C685">
        <v>10</v>
      </c>
      <c r="D685">
        <v>6.4</v>
      </c>
      <c r="H685">
        <v>0.2795433693714028</v>
      </c>
      <c r="J685" s="2">
        <v>-0.05468453427670593</v>
      </c>
      <c r="K685">
        <f t="shared" si="15"/>
        <v>0.08000000000000007</v>
      </c>
      <c r="L685" s="2">
        <v>-0.0005939056406608433</v>
      </c>
      <c r="Q685">
        <v>-0.06703261354460385</v>
      </c>
      <c r="R685">
        <f t="shared" si="16"/>
        <v>0.08000000000000007</v>
      </c>
      <c r="S685">
        <v>0.0023063751024571403</v>
      </c>
    </row>
    <row r="686" spans="1:19" ht="12.75">
      <c r="A686" s="1">
        <f>DATE(1987,11,1)</f>
        <v>32082</v>
      </c>
      <c r="B686">
        <v>1987</v>
      </c>
      <c r="C686">
        <v>11</v>
      </c>
      <c r="D686">
        <v>5.81</v>
      </c>
      <c r="H686">
        <v>0.2874195631803767</v>
      </c>
      <c r="J686" s="2">
        <v>-0.05414453307918878</v>
      </c>
      <c r="K686">
        <f aca="true" t="shared" si="17" ref="K686:K749">D686-D685</f>
        <v>-0.5900000000000007</v>
      </c>
      <c r="L686" s="2">
        <v>-0.0025458685218976954</v>
      </c>
      <c r="Q686">
        <v>-0.06634951507913646</v>
      </c>
      <c r="R686">
        <f t="shared" si="16"/>
        <v>-0.5900000000000007</v>
      </c>
      <c r="S686">
        <v>0.0014485053233159225</v>
      </c>
    </row>
    <row r="687" spans="1:19" ht="12.75">
      <c r="A687" s="1">
        <f>DATE(1987,12,1)</f>
        <v>32112</v>
      </c>
      <c r="B687">
        <v>1987</v>
      </c>
      <c r="C687">
        <v>12</v>
      </c>
      <c r="D687">
        <v>5.8</v>
      </c>
      <c r="H687">
        <v>0.29440190784749853</v>
      </c>
      <c r="J687" s="2">
        <v>-0.053605165088484376</v>
      </c>
      <c r="K687">
        <f t="shared" si="17"/>
        <v>-0.009999999999999787</v>
      </c>
      <c r="L687" s="2">
        <v>0.0012399285654851968</v>
      </c>
      <c r="Q687">
        <v>-0.06573262333617909</v>
      </c>
      <c r="R687">
        <f t="shared" si="16"/>
        <v>-0.009999999999999787</v>
      </c>
      <c r="S687">
        <v>0.0011500217804447377</v>
      </c>
    </row>
    <row r="688" spans="1:19" ht="12.75">
      <c r="A688" s="1">
        <f>DATE(1988,1,1)</f>
        <v>32143</v>
      </c>
      <c r="B688">
        <v>1988</v>
      </c>
      <c r="C688">
        <v>1</v>
      </c>
      <c r="D688">
        <v>5.9</v>
      </c>
      <c r="H688">
        <v>0.2983665320255456</v>
      </c>
      <c r="J688" s="2">
        <v>-0.05297958469189881</v>
      </c>
      <c r="K688">
        <f t="shared" si="17"/>
        <v>0.10000000000000053</v>
      </c>
      <c r="L688" s="2">
        <v>-0.0018017101169242639</v>
      </c>
      <c r="Q688">
        <v>-0.06508235223296263</v>
      </c>
      <c r="R688">
        <f t="shared" si="16"/>
        <v>0.10000000000000053</v>
      </c>
      <c r="S688">
        <v>0.001433363624443044</v>
      </c>
    </row>
    <row r="689" spans="1:19" ht="12.75">
      <c r="A689" s="1">
        <f>DATE(1988,2,1)</f>
        <v>32174</v>
      </c>
      <c r="B689">
        <v>1988</v>
      </c>
      <c r="C689">
        <v>2</v>
      </c>
      <c r="D689">
        <v>5.69</v>
      </c>
      <c r="H689">
        <v>0.30207225383740316</v>
      </c>
      <c r="J689" s="2">
        <v>-0.052437755165693385</v>
      </c>
      <c r="K689">
        <f t="shared" si="17"/>
        <v>-0.20999999999999996</v>
      </c>
      <c r="L689" s="2">
        <v>-0.001246560738288663</v>
      </c>
      <c r="Q689">
        <v>-0.06461851961418148</v>
      </c>
      <c r="R689">
        <f t="shared" si="16"/>
        <v>-0.20999999999999996</v>
      </c>
      <c r="S689">
        <v>0.0014685204950336715</v>
      </c>
    </row>
    <row r="690" spans="1:19" ht="12.75">
      <c r="A690" s="1">
        <f>DATE(1988,3,1)</f>
        <v>32203</v>
      </c>
      <c r="B690">
        <v>1988</v>
      </c>
      <c r="C690">
        <v>3</v>
      </c>
      <c r="D690">
        <v>5.69</v>
      </c>
      <c r="H690">
        <v>0.3038029147359161</v>
      </c>
      <c r="J690" s="2">
        <v>-0.05189222505190491</v>
      </c>
      <c r="K690">
        <f t="shared" si="17"/>
        <v>0</v>
      </c>
      <c r="L690" s="2">
        <v>-0.0007340421440174403</v>
      </c>
      <c r="Q690">
        <v>-0.06417141629776658</v>
      </c>
      <c r="R690">
        <f t="shared" si="16"/>
        <v>0</v>
      </c>
      <c r="S690">
        <v>0.0010669928487163495</v>
      </c>
    </row>
    <row r="691" spans="1:19" ht="12.75">
      <c r="A691" s="1">
        <f>DATE(1988,4,1)</f>
        <v>32234</v>
      </c>
      <c r="B691">
        <v>1988</v>
      </c>
      <c r="C691">
        <v>4</v>
      </c>
      <c r="D691">
        <v>5.92</v>
      </c>
      <c r="H691">
        <v>0.3015929206872151</v>
      </c>
      <c r="J691" s="2">
        <v>-0.051185831039298954</v>
      </c>
      <c r="K691">
        <f t="shared" si="17"/>
        <v>0.22999999999999954</v>
      </c>
      <c r="L691" s="2">
        <v>-4.46914213674609E-05</v>
      </c>
      <c r="Q691">
        <v>-0.06359436277856402</v>
      </c>
      <c r="R691">
        <f t="shared" si="16"/>
        <v>0.22999999999999954</v>
      </c>
      <c r="S691">
        <v>0.0009978385749603235</v>
      </c>
    </row>
    <row r="692" spans="1:19" ht="12.75">
      <c r="A692" s="1">
        <f>DATE(1988,5,1)</f>
        <v>32264</v>
      </c>
      <c r="B692">
        <v>1988</v>
      </c>
      <c r="C692">
        <v>5</v>
      </c>
      <c r="D692">
        <v>6.27</v>
      </c>
      <c r="H692">
        <v>0.2956997544962452</v>
      </c>
      <c r="J692" s="2">
        <v>-0.05024622355327775</v>
      </c>
      <c r="K692">
        <f t="shared" si="17"/>
        <v>0.34999999999999964</v>
      </c>
      <c r="L692" s="2">
        <v>0.0006874319719490056</v>
      </c>
      <c r="Q692">
        <v>-0.06280673596480034</v>
      </c>
      <c r="R692">
        <f t="shared" si="16"/>
        <v>0.34999999999999964</v>
      </c>
      <c r="S692">
        <v>0.0015318409479669268</v>
      </c>
    </row>
    <row r="693" spans="1:19" ht="12.75">
      <c r="A693" s="1">
        <f>DATE(1988,6,1)</f>
        <v>32295</v>
      </c>
      <c r="B693">
        <v>1988</v>
      </c>
      <c r="C693">
        <v>6</v>
      </c>
      <c r="D693">
        <v>6.5</v>
      </c>
      <c r="H693">
        <v>0.28825399496848786</v>
      </c>
      <c r="J693" s="2">
        <v>-0.04915885908201578</v>
      </c>
      <c r="K693">
        <f t="shared" si="17"/>
        <v>0.23000000000000043</v>
      </c>
      <c r="L693" s="2">
        <v>0.00043717970518702574</v>
      </c>
      <c r="Q693">
        <v>-0.06188733450984135</v>
      </c>
      <c r="R693">
        <f t="shared" si="16"/>
        <v>0.23000000000000043</v>
      </c>
      <c r="S693">
        <v>0.001304197723449803</v>
      </c>
    </row>
    <row r="694" spans="1:19" ht="12.75">
      <c r="A694" s="1">
        <f>DATE(1988,7,1)</f>
        <v>32325</v>
      </c>
      <c r="B694">
        <v>1988</v>
      </c>
      <c r="C694">
        <v>7</v>
      </c>
      <c r="D694">
        <v>6.73</v>
      </c>
      <c r="H694">
        <v>0.27783071263352926</v>
      </c>
      <c r="J694" s="2">
        <v>-0.04781416132484557</v>
      </c>
      <c r="K694">
        <f t="shared" si="17"/>
        <v>0.23000000000000043</v>
      </c>
      <c r="L694" s="2">
        <v>-0.004264977468442569</v>
      </c>
      <c r="Q694">
        <v>-0.06084108753165419</v>
      </c>
      <c r="R694">
        <f t="shared" si="16"/>
        <v>0.23000000000000043</v>
      </c>
      <c r="S694">
        <v>0.0008540070816391206</v>
      </c>
    </row>
    <row r="695" spans="1:19" ht="12.75">
      <c r="A695" s="1">
        <f>DATE(1988,8,1)</f>
        <v>32356</v>
      </c>
      <c r="B695">
        <v>1988</v>
      </c>
      <c r="C695">
        <v>8</v>
      </c>
      <c r="D695">
        <v>7.02</v>
      </c>
      <c r="H695">
        <v>0.2641486184811851</v>
      </c>
      <c r="J695" s="2">
        <v>-0.0462403160245285</v>
      </c>
      <c r="K695">
        <f t="shared" si="17"/>
        <v>0.28999999999999915</v>
      </c>
      <c r="L695" s="2">
        <v>0.0006687062003627189</v>
      </c>
      <c r="Q695">
        <v>-0.05960782489314686</v>
      </c>
      <c r="R695">
        <f t="shared" si="16"/>
        <v>0.28999999999999915</v>
      </c>
      <c r="S695">
        <v>-0.0008849048242268294</v>
      </c>
    </row>
    <row r="696" spans="1:19" ht="12.75">
      <c r="A696" s="1">
        <f>DATE(1988,9,1)</f>
        <v>32387</v>
      </c>
      <c r="B696">
        <v>1988</v>
      </c>
      <c r="C696">
        <v>9</v>
      </c>
      <c r="D696">
        <v>7.23</v>
      </c>
      <c r="H696">
        <v>0.2480574724156085</v>
      </c>
      <c r="J696" s="2">
        <v>-0.044567217214405326</v>
      </c>
      <c r="K696">
        <f t="shared" si="17"/>
        <v>0.21000000000000085</v>
      </c>
      <c r="L696" s="2">
        <v>0.0026307660538914084</v>
      </c>
      <c r="Q696">
        <v>-0.058195443928553615</v>
      </c>
      <c r="R696">
        <f t="shared" si="16"/>
        <v>0.21000000000000085</v>
      </c>
      <c r="S696">
        <v>0.00014359363040598216</v>
      </c>
    </row>
    <row r="697" spans="1:19" ht="12.75">
      <c r="A697" s="1">
        <f>DATE(1988,10,1)</f>
        <v>32417</v>
      </c>
      <c r="B697">
        <v>1988</v>
      </c>
      <c r="C697">
        <v>10</v>
      </c>
      <c r="D697">
        <v>7.34</v>
      </c>
      <c r="H697">
        <v>0.23154826054295685</v>
      </c>
      <c r="J697" s="2">
        <v>-0.042750829916420714</v>
      </c>
      <c r="K697">
        <f t="shared" si="17"/>
        <v>0.10999999999999943</v>
      </c>
      <c r="L697" s="2">
        <v>-0.0021022530402851855</v>
      </c>
      <c r="Q697">
        <v>-0.056690955907551806</v>
      </c>
      <c r="R697">
        <f t="shared" si="16"/>
        <v>0.10999999999999943</v>
      </c>
      <c r="S697">
        <v>-0.00035309556425762526</v>
      </c>
    </row>
    <row r="698" spans="1:19" ht="12.75">
      <c r="A698" s="1">
        <f>DATE(1988,11,1)</f>
        <v>32448</v>
      </c>
      <c r="B698">
        <v>1988</v>
      </c>
      <c r="C698">
        <v>11</v>
      </c>
      <c r="D698">
        <v>7.68</v>
      </c>
      <c r="H698">
        <v>0.21313421022602386</v>
      </c>
      <c r="J698" s="2">
        <v>-0.04061979245427988</v>
      </c>
      <c r="K698">
        <f t="shared" si="17"/>
        <v>0.33999999999999986</v>
      </c>
      <c r="L698" s="2">
        <v>-0.0014182939971149123</v>
      </c>
      <c r="Q698">
        <v>-0.054968343184221016</v>
      </c>
      <c r="R698">
        <f t="shared" si="16"/>
        <v>0.33999999999999986</v>
      </c>
      <c r="S698">
        <v>-7.103513601606682E-05</v>
      </c>
    </row>
    <row r="699" spans="1:19" ht="12.75">
      <c r="A699" s="1">
        <f>DATE(1988,12,1)</f>
        <v>32478</v>
      </c>
      <c r="B699">
        <v>1988</v>
      </c>
      <c r="C699">
        <v>12</v>
      </c>
      <c r="D699">
        <v>8.09</v>
      </c>
      <c r="H699">
        <v>0.1914079043093946</v>
      </c>
      <c r="J699" s="2">
        <v>-0.038214636647410344</v>
      </c>
      <c r="K699">
        <f t="shared" si="17"/>
        <v>0.41000000000000014</v>
      </c>
      <c r="L699" s="2">
        <v>0.002981959869750262</v>
      </c>
      <c r="Q699">
        <v>-0.053002935689126465</v>
      </c>
      <c r="R699">
        <f t="shared" si="16"/>
        <v>0.41000000000000014</v>
      </c>
      <c r="S699">
        <v>0.0002601513634450412</v>
      </c>
    </row>
    <row r="700" spans="1:19" ht="12.75">
      <c r="A700" s="1">
        <f>DATE(1989,1,1)</f>
        <v>32509</v>
      </c>
      <c r="B700">
        <v>1989</v>
      </c>
      <c r="C700">
        <v>1</v>
      </c>
      <c r="D700">
        <v>8.29</v>
      </c>
      <c r="H700">
        <v>0.16815312755603046</v>
      </c>
      <c r="J700" s="2">
        <v>-0.0356804648484332</v>
      </c>
      <c r="K700">
        <f t="shared" si="17"/>
        <v>0.1999999999999993</v>
      </c>
      <c r="L700" s="2">
        <v>-0.0005681421248992027</v>
      </c>
      <c r="Q700">
        <v>-0.050887987468610535</v>
      </c>
      <c r="R700">
        <f t="shared" si="16"/>
        <v>0.1999999999999993</v>
      </c>
      <c r="S700">
        <v>-0.0004795334815215698</v>
      </c>
    </row>
    <row r="701" spans="1:19" ht="12.75">
      <c r="A701" s="1">
        <f>DATE(1989,2,1)</f>
        <v>32540</v>
      </c>
      <c r="B701">
        <v>1989</v>
      </c>
      <c r="C701">
        <v>2</v>
      </c>
      <c r="D701">
        <v>8.48</v>
      </c>
      <c r="H701">
        <v>0.14386467613336318</v>
      </c>
      <c r="J701" s="2">
        <v>-0.03300826191821698</v>
      </c>
      <c r="K701">
        <f t="shared" si="17"/>
        <v>0.19000000000000128</v>
      </c>
      <c r="L701" s="2">
        <v>-0.0007517364269144229</v>
      </c>
      <c r="Q701">
        <v>-0.04862530225217775</v>
      </c>
      <c r="R701">
        <f t="shared" si="16"/>
        <v>0.19000000000000128</v>
      </c>
      <c r="S701">
        <v>-0.00016063029672238347</v>
      </c>
    </row>
    <row r="702" spans="1:19" ht="12.75">
      <c r="A702" s="1">
        <f>DATE(1989,3,1)</f>
        <v>32568</v>
      </c>
      <c r="B702">
        <v>1989</v>
      </c>
      <c r="C702">
        <v>3</v>
      </c>
      <c r="D702">
        <v>8.83</v>
      </c>
      <c r="H702">
        <v>0.1157432229623734</v>
      </c>
      <c r="J702" s="2">
        <v>-0.030083312309319113</v>
      </c>
      <c r="K702">
        <f t="shared" si="17"/>
        <v>0.34999999999999964</v>
      </c>
      <c r="L702" s="2">
        <v>0.0003957189696689973</v>
      </c>
      <c r="Q702">
        <v>-0.04611617502312941</v>
      </c>
      <c r="R702">
        <f t="shared" si="16"/>
        <v>0.34999999999999964</v>
      </c>
      <c r="S702">
        <v>-0.0011281032208595406</v>
      </c>
    </row>
    <row r="703" spans="1:19" ht="12.75">
      <c r="A703" s="1">
        <f>DATE(1989,4,1)</f>
        <v>32599</v>
      </c>
      <c r="B703">
        <v>1989</v>
      </c>
      <c r="C703">
        <v>4</v>
      </c>
      <c r="D703">
        <v>8.7</v>
      </c>
      <c r="H703">
        <v>0.08737669590973178</v>
      </c>
      <c r="J703" s="2">
        <v>-0.027237686580736626</v>
      </c>
      <c r="K703">
        <f t="shared" si="17"/>
        <v>-0.13000000000000078</v>
      </c>
      <c r="L703" s="2">
        <v>0.0014987529547576572</v>
      </c>
      <c r="Q703">
        <v>-0.04367515788025977</v>
      </c>
      <c r="R703">
        <f aca="true" t="shared" si="18" ref="R703:R766">D703-D702</f>
        <v>-0.13000000000000078</v>
      </c>
      <c r="S703">
        <v>0.00018426578781082246</v>
      </c>
    </row>
    <row r="704" spans="1:19" ht="12.75">
      <c r="A704" s="1">
        <f>DATE(1989,5,1)</f>
        <v>32629</v>
      </c>
      <c r="B704">
        <v>1989</v>
      </c>
      <c r="C704">
        <v>5</v>
      </c>
      <c r="D704">
        <v>8.4</v>
      </c>
      <c r="H704">
        <v>0.060647952812915885</v>
      </c>
      <c r="J704" s="2">
        <v>-0.02462946913409211</v>
      </c>
      <c r="K704">
        <f t="shared" si="17"/>
        <v>-0.29999999999999893</v>
      </c>
      <c r="L704" s="2">
        <v>0.0006198189818077479</v>
      </c>
      <c r="Q704">
        <v>-0.04143485170610838</v>
      </c>
      <c r="R704">
        <f t="shared" si="18"/>
        <v>-0.29999999999999893</v>
      </c>
      <c r="S704">
        <v>0.0002398924536952698</v>
      </c>
    </row>
    <row r="705" spans="1:19" ht="12.75">
      <c r="A705" s="1">
        <f>DATE(1989,6,1)</f>
        <v>32660</v>
      </c>
      <c r="B705">
        <v>1989</v>
      </c>
      <c r="C705">
        <v>6</v>
      </c>
      <c r="D705">
        <v>8.22</v>
      </c>
      <c r="H705">
        <v>0.03338497648051193</v>
      </c>
      <c r="J705" s="2">
        <v>-0.022202956443261705</v>
      </c>
      <c r="K705">
        <f t="shared" si="17"/>
        <v>-0.17999999999999972</v>
      </c>
      <c r="L705" s="2">
        <v>0.0017927303208388364</v>
      </c>
      <c r="Q705">
        <v>-0.03928644575869398</v>
      </c>
      <c r="R705">
        <f t="shared" si="18"/>
        <v>-0.17999999999999972</v>
      </c>
      <c r="S705">
        <v>-0.00025932260856579003</v>
      </c>
    </row>
    <row r="706" spans="1:19" ht="12.75">
      <c r="A706" s="1">
        <f>DATE(1989,7,1)</f>
        <v>32690</v>
      </c>
      <c r="B706">
        <v>1989</v>
      </c>
      <c r="C706">
        <v>7</v>
      </c>
      <c r="D706">
        <v>7.92</v>
      </c>
      <c r="H706">
        <v>0.0069587725102822195</v>
      </c>
      <c r="J706" s="2">
        <v>-0.019996709317590358</v>
      </c>
      <c r="K706">
        <f t="shared" si="17"/>
        <v>-0.3000000000000007</v>
      </c>
      <c r="L706" s="2">
        <v>-0.0004607233540547143</v>
      </c>
      <c r="Q706">
        <v>-0.03734315357660251</v>
      </c>
      <c r="R706">
        <f t="shared" si="18"/>
        <v>-0.3000000000000007</v>
      </c>
      <c r="S706">
        <v>-0.00028003053644759225</v>
      </c>
    </row>
    <row r="707" spans="1:19" ht="12.75">
      <c r="A707" s="1">
        <f>DATE(1989,8,1)</f>
        <v>32721</v>
      </c>
      <c r="B707">
        <v>1989</v>
      </c>
      <c r="C707">
        <v>8</v>
      </c>
      <c r="D707">
        <v>7.91</v>
      </c>
      <c r="H707">
        <v>-0.021094529169587442</v>
      </c>
      <c r="J707" s="2">
        <v>-0.017769813844673445</v>
      </c>
      <c r="K707">
        <f t="shared" si="17"/>
        <v>-0.009999999999999787</v>
      </c>
      <c r="L707" s="2">
        <v>0.00113229242750534</v>
      </c>
      <c r="Q707">
        <v>-0.035405095340350336</v>
      </c>
      <c r="R707">
        <f t="shared" si="18"/>
        <v>-0.009999999999999787</v>
      </c>
      <c r="S707">
        <v>-0.0003280270753608934</v>
      </c>
    </row>
    <row r="708" spans="1:19" ht="12.75">
      <c r="A708" s="1">
        <f>DATE(1989,9,1)</f>
        <v>32752</v>
      </c>
      <c r="B708">
        <v>1989</v>
      </c>
      <c r="C708">
        <v>9</v>
      </c>
      <c r="D708">
        <v>7.72</v>
      </c>
      <c r="H708">
        <v>-0.04826270366259022</v>
      </c>
      <c r="J708" s="2">
        <v>-0.015762708487267227</v>
      </c>
      <c r="K708">
        <f t="shared" si="17"/>
        <v>-0.1900000000000004</v>
      </c>
      <c r="L708" s="2">
        <v>0.0034968661217843274</v>
      </c>
      <c r="Q708">
        <v>-0.03356497926306076</v>
      </c>
      <c r="R708">
        <f t="shared" si="18"/>
        <v>-0.1900000000000004</v>
      </c>
      <c r="S708">
        <v>-4.163776183849669E-05</v>
      </c>
    </row>
    <row r="709" spans="1:19" ht="12.75">
      <c r="A709" s="1">
        <f>DATE(1989,10,1)</f>
        <v>32782</v>
      </c>
      <c r="B709">
        <v>1989</v>
      </c>
      <c r="C709">
        <v>10</v>
      </c>
      <c r="D709">
        <v>7.63</v>
      </c>
      <c r="H709">
        <v>-0.07534633016728585</v>
      </c>
      <c r="J709" s="2">
        <v>-0.013796323763518095</v>
      </c>
      <c r="K709">
        <f t="shared" si="17"/>
        <v>-0.08999999999999986</v>
      </c>
      <c r="L709" s="2">
        <v>0.00013068067157418408</v>
      </c>
      <c r="Q709">
        <v>-0.03178084062785681</v>
      </c>
      <c r="R709">
        <f t="shared" si="18"/>
        <v>-0.08999999999999986</v>
      </c>
      <c r="S709">
        <v>3.058879422015316E-06</v>
      </c>
    </row>
    <row r="710" spans="1:19" ht="12.75">
      <c r="A710" s="1">
        <f>DATE(1989,11,1)</f>
        <v>32813</v>
      </c>
      <c r="B710">
        <v>1989</v>
      </c>
      <c r="C710">
        <v>11</v>
      </c>
      <c r="D710">
        <v>7.65</v>
      </c>
      <c r="H710">
        <v>-0.10229372397747719</v>
      </c>
      <c r="J710" s="2">
        <v>-0.011732912387609385</v>
      </c>
      <c r="K710">
        <f t="shared" si="17"/>
        <v>0.020000000000000462</v>
      </c>
      <c r="L710" s="2">
        <v>-0.0021990033439355655</v>
      </c>
      <c r="Q710">
        <v>-0.029987454170592526</v>
      </c>
      <c r="R710">
        <f t="shared" si="18"/>
        <v>0.020000000000000462</v>
      </c>
      <c r="S710">
        <v>-0.00010020179432773239</v>
      </c>
    </row>
    <row r="711" spans="1:19" ht="12.75">
      <c r="A711" s="1">
        <f>DATE(1989,12,1)</f>
        <v>32843</v>
      </c>
      <c r="B711">
        <v>1989</v>
      </c>
      <c r="C711">
        <v>12</v>
      </c>
      <c r="D711">
        <v>7.64</v>
      </c>
      <c r="H711">
        <v>-0.128592511343549</v>
      </c>
      <c r="J711" s="2">
        <v>-0.009685746940428777</v>
      </c>
      <c r="K711">
        <f t="shared" si="17"/>
        <v>-0.010000000000000675</v>
      </c>
      <c r="L711" s="2">
        <v>0.0022638135830042056</v>
      </c>
      <c r="Q711">
        <v>-0.0281992793143009</v>
      </c>
      <c r="R711">
        <f t="shared" si="18"/>
        <v>-0.010000000000000675</v>
      </c>
      <c r="S711">
        <v>0.00010548810300696246</v>
      </c>
    </row>
    <row r="712" spans="1:19" ht="12.75">
      <c r="A712" s="1">
        <f>DATE(1990,1,1)</f>
        <v>32874</v>
      </c>
      <c r="B712">
        <v>1990</v>
      </c>
      <c r="C712">
        <v>1</v>
      </c>
      <c r="D712">
        <v>7.64</v>
      </c>
      <c r="H712">
        <v>-0.15328966775298894</v>
      </c>
      <c r="J712" s="2">
        <v>-0.007649489816247093</v>
      </c>
      <c r="K712">
        <f t="shared" si="17"/>
        <v>0</v>
      </c>
      <c r="L712" s="2">
        <v>0.001885419287253096</v>
      </c>
      <c r="Q712">
        <v>-0.026403471790739864</v>
      </c>
      <c r="R712">
        <f t="shared" si="18"/>
        <v>0</v>
      </c>
      <c r="S712">
        <v>0.0001335366071841094</v>
      </c>
    </row>
    <row r="713" spans="1:19" ht="12.75">
      <c r="A713" s="1">
        <f>DATE(1990,2,1)</f>
        <v>32905</v>
      </c>
      <c r="B713">
        <v>1990</v>
      </c>
      <c r="C713">
        <v>2</v>
      </c>
      <c r="D713">
        <v>7.76</v>
      </c>
      <c r="H713">
        <v>-0.1772755292159748</v>
      </c>
      <c r="J713" s="2">
        <v>-0.005521355761404297</v>
      </c>
      <c r="K713">
        <f t="shared" si="17"/>
        <v>0.1200000000000001</v>
      </c>
      <c r="L713" s="2">
        <v>-0.0005245041818274718</v>
      </c>
      <c r="Q713">
        <v>-0.024520450576950795</v>
      </c>
      <c r="R713">
        <f t="shared" si="18"/>
        <v>0.1200000000000001</v>
      </c>
      <c r="S713">
        <v>0.0003493453765403026</v>
      </c>
    </row>
    <row r="714" spans="1:19" ht="12.75">
      <c r="A714" s="1">
        <f>DATE(1990,3,1)</f>
        <v>32933</v>
      </c>
      <c r="B714">
        <v>1990</v>
      </c>
      <c r="C714">
        <v>3</v>
      </c>
      <c r="D714">
        <v>7.87</v>
      </c>
      <c r="H714">
        <v>-0.2024385991813709</v>
      </c>
      <c r="J714" s="2">
        <v>-0.0033393615604223946</v>
      </c>
      <c r="K714">
        <f t="shared" si="17"/>
        <v>0.11000000000000032</v>
      </c>
      <c r="L714" s="2">
        <v>0.0003815454204093011</v>
      </c>
      <c r="Q714">
        <v>-0.022571212006889236</v>
      </c>
      <c r="R714">
        <f t="shared" si="18"/>
        <v>0.11000000000000032</v>
      </c>
      <c r="S714">
        <v>-0.0004184453927129223</v>
      </c>
    </row>
    <row r="715" spans="1:19" ht="12.75">
      <c r="A715" s="1">
        <f>DATE(1990,4,1)</f>
        <v>32964</v>
      </c>
      <c r="B715">
        <v>1990</v>
      </c>
      <c r="C715">
        <v>4</v>
      </c>
      <c r="D715">
        <v>7.78</v>
      </c>
      <c r="H715">
        <v>-0.22721735337690266</v>
      </c>
      <c r="J715" s="2">
        <v>-0.0011888821797390822</v>
      </c>
      <c r="K715">
        <f t="shared" si="17"/>
        <v>-0.08999999999999986</v>
      </c>
      <c r="L715" s="2">
        <v>0.0005808384539146648</v>
      </c>
      <c r="Q715">
        <v>-0.020663371990647026</v>
      </c>
      <c r="R715">
        <f t="shared" si="18"/>
        <v>-0.08999999999999986</v>
      </c>
      <c r="S715">
        <v>-0.0001984309511294193</v>
      </c>
    </row>
    <row r="716" spans="1:19" ht="12.75">
      <c r="A716" s="1">
        <f>DATE(1990,5,1)</f>
        <v>32994</v>
      </c>
      <c r="B716">
        <v>1990</v>
      </c>
      <c r="C716">
        <v>5</v>
      </c>
      <c r="D716">
        <v>7.78</v>
      </c>
      <c r="H716">
        <v>-0.2517232625041362</v>
      </c>
      <c r="J716" s="2">
        <v>0.0010069339815265662</v>
      </c>
      <c r="K716">
        <f t="shared" si="17"/>
        <v>0</v>
      </c>
      <c r="L716" s="2">
        <v>-0.0008882809417082768</v>
      </c>
      <c r="Q716">
        <v>-0.018750152946538777</v>
      </c>
      <c r="R716">
        <f t="shared" si="18"/>
        <v>0</v>
      </c>
      <c r="S716">
        <v>0.0007127501945807629</v>
      </c>
    </row>
    <row r="717" spans="1:19" ht="12.75">
      <c r="A717" s="1">
        <f>DATE(1990,6,1)</f>
        <v>33025</v>
      </c>
      <c r="B717">
        <v>1990</v>
      </c>
      <c r="C717">
        <v>6</v>
      </c>
      <c r="D717">
        <v>7.74</v>
      </c>
      <c r="H717">
        <v>-0.27546303907169295</v>
      </c>
      <c r="J717" s="2">
        <v>0.003173928403221534</v>
      </c>
      <c r="K717">
        <f t="shared" si="17"/>
        <v>-0.040000000000000036</v>
      </c>
      <c r="L717" s="2">
        <v>-0.00042259582606747023</v>
      </c>
      <c r="Q717">
        <v>-0.016848951111346617</v>
      </c>
      <c r="R717">
        <f t="shared" si="18"/>
        <v>-0.040000000000000036</v>
      </c>
      <c r="S717">
        <v>-0.00033226583802272786</v>
      </c>
    </row>
    <row r="718" spans="1:19" ht="12.75">
      <c r="A718" s="1">
        <f>DATE(1990,7,1)</f>
        <v>33055</v>
      </c>
      <c r="B718">
        <v>1990</v>
      </c>
      <c r="C718">
        <v>7</v>
      </c>
      <c r="D718">
        <v>7.66</v>
      </c>
      <c r="H718">
        <v>-0.2980048352280714</v>
      </c>
      <c r="J718" s="2">
        <v>0.005315815525016115</v>
      </c>
      <c r="K718">
        <f t="shared" si="17"/>
        <v>-0.08000000000000007</v>
      </c>
      <c r="L718" s="2">
        <v>-0.0007355332411174712</v>
      </c>
      <c r="Q718">
        <v>-0.014990103731396752</v>
      </c>
      <c r="R718">
        <f t="shared" si="18"/>
        <v>-0.08000000000000007</v>
      </c>
      <c r="S718">
        <v>-0.00035862719151085934</v>
      </c>
    </row>
    <row r="719" spans="1:19" ht="12.75">
      <c r="A719" s="1">
        <f>DATE(1990,8,1)</f>
        <v>33086</v>
      </c>
      <c r="B719">
        <v>1990</v>
      </c>
      <c r="C719">
        <v>8</v>
      </c>
      <c r="D719">
        <v>7.44</v>
      </c>
      <c r="H719">
        <v>-0.31788736140586926</v>
      </c>
      <c r="J719" s="2">
        <v>0.0073555198610557515</v>
      </c>
      <c r="K719">
        <f t="shared" si="17"/>
        <v>-0.21999999999999975</v>
      </c>
      <c r="L719" s="2">
        <v>-0.0009378829324611444</v>
      </c>
      <c r="Q719">
        <v>-0.0132704677832149</v>
      </c>
      <c r="R719">
        <f t="shared" si="18"/>
        <v>-0.21999999999999975</v>
      </c>
      <c r="S719">
        <v>0.00019355834787105456</v>
      </c>
    </row>
    <row r="720" spans="1:19" ht="12.75">
      <c r="A720" s="1">
        <f>DATE(1990,9,1)</f>
        <v>33117</v>
      </c>
      <c r="B720">
        <v>1990</v>
      </c>
      <c r="C720">
        <v>9</v>
      </c>
      <c r="D720">
        <v>7.38</v>
      </c>
      <c r="H720">
        <v>-0.33747647331141145</v>
      </c>
      <c r="J720" s="2">
        <v>0.00933796637377112</v>
      </c>
      <c r="K720">
        <f t="shared" si="17"/>
        <v>-0.0600000000000005</v>
      </c>
      <c r="L720" s="2">
        <v>0.00046886803136518773</v>
      </c>
      <c r="Q720">
        <v>-0.011576533399372552</v>
      </c>
      <c r="R720">
        <f t="shared" si="18"/>
        <v>-0.0600000000000005</v>
      </c>
      <c r="S720">
        <v>-0.0004846154604449256</v>
      </c>
    </row>
    <row r="721" spans="1:19" ht="12.75">
      <c r="A721" s="1">
        <f>DATE(1990,10,1)</f>
        <v>33147</v>
      </c>
      <c r="B721">
        <v>1990</v>
      </c>
      <c r="C721">
        <v>10</v>
      </c>
      <c r="D721">
        <v>7.19</v>
      </c>
      <c r="H721">
        <v>-0.3555955718118587</v>
      </c>
      <c r="J721" s="2">
        <v>0.011210564732486264</v>
      </c>
      <c r="K721">
        <f t="shared" si="17"/>
        <v>-0.1899999999999995</v>
      </c>
      <c r="L721" s="2">
        <v>-0.0012650409011051582</v>
      </c>
      <c r="Q721">
        <v>-0.010001534675438437</v>
      </c>
      <c r="R721">
        <f t="shared" si="18"/>
        <v>-0.1899999999999995</v>
      </c>
      <c r="S721">
        <v>0.00021174167287741022</v>
      </c>
    </row>
    <row r="722" spans="1:19" ht="12.75">
      <c r="A722" s="1">
        <f>DATE(1990,11,1)</f>
        <v>33178</v>
      </c>
      <c r="B722">
        <v>1990</v>
      </c>
      <c r="C722">
        <v>11</v>
      </c>
      <c r="D722">
        <v>7.07</v>
      </c>
      <c r="H722">
        <v>-0.3730106413605863</v>
      </c>
      <c r="J722" s="2">
        <v>0.013090719282482606</v>
      </c>
      <c r="K722">
        <f t="shared" si="17"/>
        <v>-0.1200000000000001</v>
      </c>
      <c r="L722" s="2">
        <v>-0.0033157126528494713</v>
      </c>
      <c r="Q722">
        <v>-0.008496175404146752</v>
      </c>
      <c r="R722">
        <f t="shared" si="18"/>
        <v>-0.1200000000000001</v>
      </c>
      <c r="S722">
        <v>-0.00012137705934225705</v>
      </c>
    </row>
    <row r="723" spans="1:19" ht="12.75">
      <c r="A723" s="1">
        <f>DATE(1990,12,1)</f>
        <v>33208</v>
      </c>
      <c r="B723">
        <v>1990</v>
      </c>
      <c r="C723">
        <v>12</v>
      </c>
      <c r="D723">
        <v>6.81</v>
      </c>
      <c r="H723">
        <v>-0.3884974886137798</v>
      </c>
      <c r="J723" s="2">
        <v>0.014794870825870367</v>
      </c>
      <c r="K723">
        <f t="shared" si="17"/>
        <v>-0.2600000000000007</v>
      </c>
      <c r="L723" s="2">
        <v>0.0007816832523473176</v>
      </c>
      <c r="Q723">
        <v>-0.007125080570762711</v>
      </c>
      <c r="R723">
        <f t="shared" si="18"/>
        <v>-0.2600000000000007</v>
      </c>
      <c r="S723">
        <v>-0.0006868365930605552</v>
      </c>
    </row>
    <row r="724" spans="1:19" ht="12.75">
      <c r="A724" s="1">
        <f>DATE(1991,1,1)</f>
        <v>33239</v>
      </c>
      <c r="B724">
        <v>1991</v>
      </c>
      <c r="C724">
        <v>1</v>
      </c>
      <c r="D724">
        <v>6.3</v>
      </c>
      <c r="H724">
        <v>-0.399609910196617</v>
      </c>
      <c r="J724" s="2">
        <v>0.016149468640501312</v>
      </c>
      <c r="K724">
        <f t="shared" si="17"/>
        <v>-0.5099999999999998</v>
      </c>
      <c r="L724" s="2">
        <v>-0.00037830548718194724</v>
      </c>
      <c r="Q724">
        <v>-0.006060443049130963</v>
      </c>
      <c r="R724">
        <f t="shared" si="18"/>
        <v>-0.5099999999999998</v>
      </c>
      <c r="S724">
        <v>-0.0006022784754308224</v>
      </c>
    </row>
    <row r="725" spans="1:19" ht="12.75">
      <c r="A725" s="1">
        <f>DATE(1991,2,1)</f>
        <v>33270</v>
      </c>
      <c r="B725">
        <v>1991</v>
      </c>
      <c r="C725">
        <v>2</v>
      </c>
      <c r="D725">
        <v>5.95</v>
      </c>
      <c r="H725">
        <v>-0.4073379766515956</v>
      </c>
      <c r="J725" s="2">
        <v>0.017265254266588793</v>
      </c>
      <c r="K725">
        <f t="shared" si="17"/>
        <v>-0.34999999999999964</v>
      </c>
      <c r="L725" s="2">
        <v>-0.001473502781768022</v>
      </c>
      <c r="Q725">
        <v>-0.00520808379523464</v>
      </c>
      <c r="R725">
        <f t="shared" si="18"/>
        <v>-0.34999999999999964</v>
      </c>
      <c r="S725">
        <v>-0.0005728253424433889</v>
      </c>
    </row>
    <row r="726" spans="1:19" ht="12.75">
      <c r="A726" s="1">
        <f>DATE(1991,3,1)</f>
        <v>33298</v>
      </c>
      <c r="B726">
        <v>1991</v>
      </c>
      <c r="C726">
        <v>3</v>
      </c>
      <c r="D726">
        <v>5.91</v>
      </c>
      <c r="H726">
        <v>-0.4152293849023523</v>
      </c>
      <c r="J726" s="2">
        <v>0.01833110235909613</v>
      </c>
      <c r="K726">
        <f t="shared" si="17"/>
        <v>-0.040000000000000036</v>
      </c>
      <c r="L726" s="2">
        <v>-0.0005880431917426454</v>
      </c>
      <c r="Q726">
        <v>-0.004359831886934413</v>
      </c>
      <c r="R726">
        <f t="shared" si="18"/>
        <v>-0.040000000000000036</v>
      </c>
      <c r="S726">
        <v>-0.0011056621666876072</v>
      </c>
    </row>
    <row r="727" spans="1:19" ht="12.75">
      <c r="A727" s="1">
        <f>DATE(1991,4,1)</f>
        <v>33329</v>
      </c>
      <c r="B727">
        <v>1991</v>
      </c>
      <c r="C727">
        <v>4</v>
      </c>
      <c r="D727">
        <v>5.67</v>
      </c>
      <c r="H727">
        <v>-0.4208051850198023</v>
      </c>
      <c r="J727" s="2">
        <v>0.01922339911761395</v>
      </c>
      <c r="K727">
        <f t="shared" si="17"/>
        <v>-0.2400000000000002</v>
      </c>
      <c r="L727" s="2">
        <v>-0.0002583280493702573</v>
      </c>
      <c r="Q727">
        <v>-0.0036485394069622487</v>
      </c>
      <c r="R727">
        <f t="shared" si="18"/>
        <v>-0.2400000000000002</v>
      </c>
      <c r="S727">
        <v>-0.0007628577030536644</v>
      </c>
    </row>
    <row r="728" spans="1:19" ht="12.75">
      <c r="A728" s="1">
        <f>DATE(1991,5,1)</f>
        <v>33359</v>
      </c>
      <c r="B728">
        <v>1991</v>
      </c>
      <c r="C728">
        <v>5</v>
      </c>
      <c r="D728">
        <v>5.51</v>
      </c>
      <c r="H728">
        <v>-0.42345375320533535</v>
      </c>
      <c r="J728" s="2">
        <v>0.02003336765917512</v>
      </c>
      <c r="K728">
        <f t="shared" si="17"/>
        <v>-0.16000000000000014</v>
      </c>
      <c r="L728" s="2">
        <v>-0.0010182128154972644</v>
      </c>
      <c r="Q728">
        <v>-0.0030401405487863785</v>
      </c>
      <c r="R728">
        <f t="shared" si="18"/>
        <v>-0.16000000000000014</v>
      </c>
      <c r="S728">
        <v>0.00019127551311855999</v>
      </c>
    </row>
    <row r="729" spans="1:19" ht="12.75">
      <c r="A729" s="1">
        <f>DATE(1991,6,1)</f>
        <v>33390</v>
      </c>
      <c r="B729">
        <v>1991</v>
      </c>
      <c r="C729">
        <v>6</v>
      </c>
      <c r="D729">
        <v>5.6</v>
      </c>
      <c r="H729">
        <v>-0.4263872703838901</v>
      </c>
      <c r="J729" s="2">
        <v>0.020872265869114795</v>
      </c>
      <c r="K729">
        <f t="shared" si="17"/>
        <v>0.08999999999999986</v>
      </c>
      <c r="L729" s="2">
        <v>5.7768181324762185E-05</v>
      </c>
      <c r="Q729">
        <v>-0.002379159531054881</v>
      </c>
      <c r="R729">
        <f t="shared" si="18"/>
        <v>0.08999999999999986</v>
      </c>
      <c r="S729">
        <v>0.00031729379648711987</v>
      </c>
    </row>
    <row r="730" spans="1:19" ht="12.75">
      <c r="A730" s="1">
        <f>DATE(1991,7,1)</f>
        <v>33420</v>
      </c>
      <c r="B730">
        <v>1991</v>
      </c>
      <c r="C730">
        <v>7</v>
      </c>
      <c r="D730">
        <v>5.58</v>
      </c>
      <c r="H730">
        <v>-0.4297662210292513</v>
      </c>
      <c r="J730" s="2">
        <v>0.021611074965328894</v>
      </c>
      <c r="K730">
        <f t="shared" si="17"/>
        <v>-0.019999999999999574</v>
      </c>
      <c r="L730" s="2">
        <v>0.000966851290702503</v>
      </c>
      <c r="Q730">
        <v>-0.0017064161555912392</v>
      </c>
      <c r="R730">
        <f t="shared" si="18"/>
        <v>-0.019999999999999574</v>
      </c>
      <c r="S730">
        <v>-0.0009240817456566666</v>
      </c>
    </row>
    <row r="731" spans="1:19" ht="12.75">
      <c r="A731" s="1">
        <f>DATE(1991,8,1)</f>
        <v>33451</v>
      </c>
      <c r="B731">
        <v>1991</v>
      </c>
      <c r="C731">
        <v>8</v>
      </c>
      <c r="D731">
        <v>5.39</v>
      </c>
      <c r="H731">
        <v>-0.4313571897296879</v>
      </c>
      <c r="J731" s="2">
        <v>0.022236033633244726</v>
      </c>
      <c r="K731">
        <f t="shared" si="17"/>
        <v>-0.1900000000000004</v>
      </c>
      <c r="L731" s="2">
        <v>0.00026845058881785883</v>
      </c>
      <c r="Q731">
        <v>-0.0011519861953531753</v>
      </c>
      <c r="R731">
        <f t="shared" si="18"/>
        <v>-0.1900000000000004</v>
      </c>
      <c r="S731">
        <v>-0.00027466467862909263</v>
      </c>
    </row>
    <row r="732" spans="1:19" ht="12.75">
      <c r="A732" s="1">
        <f>DATE(1991,9,1)</f>
        <v>33482</v>
      </c>
      <c r="B732">
        <v>1991</v>
      </c>
      <c r="C732">
        <v>9</v>
      </c>
      <c r="D732">
        <v>5.25</v>
      </c>
      <c r="H732">
        <v>-0.43251064614016443</v>
      </c>
      <c r="J732" s="2">
        <v>0.02271751837643367</v>
      </c>
      <c r="K732">
        <f t="shared" si="17"/>
        <v>-0.13999999999999968</v>
      </c>
      <c r="L732" s="2">
        <v>0.0020615381551677154</v>
      </c>
      <c r="Q732">
        <v>-0.000675655853270024</v>
      </c>
      <c r="R732">
        <f t="shared" si="18"/>
        <v>-0.13999999999999968</v>
      </c>
      <c r="S732">
        <v>-0.0002605279549714124</v>
      </c>
    </row>
    <row r="733" spans="1:19" ht="12.75">
      <c r="A733" s="1">
        <f>DATE(1991,10,1)</f>
        <v>33512</v>
      </c>
      <c r="B733">
        <v>1991</v>
      </c>
      <c r="C733">
        <v>10</v>
      </c>
      <c r="D733">
        <v>5.03</v>
      </c>
      <c r="H733">
        <v>-0.43387698276638403</v>
      </c>
      <c r="J733" s="2">
        <v>0.02294729527407123</v>
      </c>
      <c r="K733">
        <f t="shared" si="17"/>
        <v>-0.21999999999999975</v>
      </c>
      <c r="L733" s="2">
        <v>0.0008290279169654589</v>
      </c>
      <c r="Q733">
        <v>-0.00031549260222108177</v>
      </c>
      <c r="R733">
        <f t="shared" si="18"/>
        <v>-0.21999999999999975</v>
      </c>
      <c r="S733">
        <v>-0.0011192961626279834</v>
      </c>
    </row>
    <row r="734" spans="1:19" ht="12.75">
      <c r="A734" s="1">
        <f>DATE(1991,11,1)</f>
        <v>33543</v>
      </c>
      <c r="B734">
        <v>1991</v>
      </c>
      <c r="C734">
        <v>11</v>
      </c>
      <c r="D734">
        <v>4.6</v>
      </c>
      <c r="H734">
        <v>-0.43290540557171314</v>
      </c>
      <c r="J734" s="2">
        <v>0.022817529937710954</v>
      </c>
      <c r="K734">
        <f t="shared" si="17"/>
        <v>-0.4300000000000006</v>
      </c>
      <c r="L734" s="2">
        <v>0.0006467303897577891</v>
      </c>
      <c r="Q734">
        <v>-0.0002241816888823447</v>
      </c>
      <c r="R734">
        <f t="shared" si="18"/>
        <v>-0.4300000000000006</v>
      </c>
      <c r="S734">
        <v>-0.0005452146368575856</v>
      </c>
    </row>
    <row r="735" spans="1:19" ht="12.75">
      <c r="A735" s="1">
        <f>DATE(1991,12,1)</f>
        <v>33573</v>
      </c>
      <c r="B735">
        <v>1991</v>
      </c>
      <c r="C735">
        <v>12</v>
      </c>
      <c r="D735">
        <v>4.12</v>
      </c>
      <c r="H735">
        <v>-0.4280448487224896</v>
      </c>
      <c r="J735" s="2">
        <v>0.022306253177078482</v>
      </c>
      <c r="K735">
        <f t="shared" si="17"/>
        <v>-0.47999999999999954</v>
      </c>
      <c r="L735" s="2">
        <v>0.0013356312558375453</v>
      </c>
      <c r="Q735">
        <v>-0.000413565972358038</v>
      </c>
      <c r="R735">
        <f t="shared" si="18"/>
        <v>-0.47999999999999954</v>
      </c>
      <c r="S735">
        <v>-0.0010664119346446004</v>
      </c>
    </row>
    <row r="736" spans="1:19" ht="12.75">
      <c r="A736" s="1">
        <f>DATE(1992,1,1)</f>
        <v>33604</v>
      </c>
      <c r="B736">
        <v>1992</v>
      </c>
      <c r="C736">
        <v>1</v>
      </c>
      <c r="D736">
        <v>3.84</v>
      </c>
      <c r="H736">
        <v>-0.4194152557303423</v>
      </c>
      <c r="J736" s="2">
        <v>0.021542603695175494</v>
      </c>
      <c r="K736">
        <f t="shared" si="17"/>
        <v>-0.28000000000000025</v>
      </c>
      <c r="L736" s="2">
        <v>0.001190298959954693</v>
      </c>
      <c r="Q736">
        <v>-0.0007699213937126232</v>
      </c>
      <c r="R736">
        <f t="shared" si="18"/>
        <v>-0.28000000000000025</v>
      </c>
      <c r="S736">
        <v>-0.00036524127803086215</v>
      </c>
    </row>
    <row r="737" spans="1:19" ht="12.75">
      <c r="A737" s="1">
        <f>DATE(1992,2,1)</f>
        <v>33635</v>
      </c>
      <c r="B737">
        <v>1992</v>
      </c>
      <c r="C737">
        <v>2</v>
      </c>
      <c r="D737">
        <v>3.84</v>
      </c>
      <c r="H737">
        <v>-0.40902380900408086</v>
      </c>
      <c r="J737" s="2">
        <v>0.020769740103345827</v>
      </c>
      <c r="K737">
        <f t="shared" si="17"/>
        <v>0</v>
      </c>
      <c r="L737" s="2">
        <v>0.00044480300471174376</v>
      </c>
      <c r="Q737">
        <v>-0.0011684345157787215</v>
      </c>
      <c r="R737">
        <f t="shared" si="18"/>
        <v>0</v>
      </c>
      <c r="S737">
        <v>0.00042644374126002947</v>
      </c>
    </row>
    <row r="738" spans="1:19" ht="12.75">
      <c r="A738" s="1">
        <f>DATE(1992,3,1)</f>
        <v>33664</v>
      </c>
      <c r="B738">
        <v>1992</v>
      </c>
      <c r="C738">
        <v>3</v>
      </c>
      <c r="D738">
        <v>4.05</v>
      </c>
      <c r="H738">
        <v>-0.40020055384393266</v>
      </c>
      <c r="J738" s="2">
        <v>0.020126591544561926</v>
      </c>
      <c r="K738">
        <f t="shared" si="17"/>
        <v>0.20999999999999996</v>
      </c>
      <c r="L738" s="2">
        <v>0.0009669621682689038</v>
      </c>
      <c r="Q738">
        <v>-0.001432014250493161</v>
      </c>
      <c r="R738">
        <f t="shared" si="18"/>
        <v>0.20999999999999996</v>
      </c>
      <c r="S738">
        <v>-7.506616412310594E-05</v>
      </c>
    </row>
    <row r="739" spans="1:19" ht="12.75">
      <c r="A739" s="1">
        <f>DATE(1992,4,1)</f>
        <v>33695</v>
      </c>
      <c r="B739">
        <v>1992</v>
      </c>
      <c r="C739">
        <v>4</v>
      </c>
      <c r="D739">
        <v>3.81</v>
      </c>
      <c r="H739">
        <v>-0.39008212727774116</v>
      </c>
      <c r="J739" s="2">
        <v>0.019294683038824253</v>
      </c>
      <c r="K739">
        <f t="shared" si="17"/>
        <v>-0.23999999999999977</v>
      </c>
      <c r="L739" s="2">
        <v>0.0011959479351962197</v>
      </c>
      <c r="Q739">
        <v>-0.0018301725679987892</v>
      </c>
      <c r="R739">
        <f t="shared" si="18"/>
        <v>-0.23999999999999977</v>
      </c>
      <c r="S739">
        <v>-0.0011787480386160354</v>
      </c>
    </row>
    <row r="740" spans="1:19" ht="12.75">
      <c r="A740" s="1">
        <f>DATE(1992,5,1)</f>
        <v>33725</v>
      </c>
      <c r="B740">
        <v>1992</v>
      </c>
      <c r="C740">
        <v>5</v>
      </c>
      <c r="D740">
        <v>3.66</v>
      </c>
      <c r="H740">
        <v>-0.37870758669437354</v>
      </c>
      <c r="J740" s="2">
        <v>0.01834849723534031</v>
      </c>
      <c r="K740">
        <f t="shared" si="17"/>
        <v>-0.1499999999999999</v>
      </c>
      <c r="L740" s="2">
        <v>0.0004960403787854218</v>
      </c>
      <c r="Q740">
        <v>-0.002306401235874245</v>
      </c>
      <c r="R740">
        <f t="shared" si="18"/>
        <v>-0.1499999999999999</v>
      </c>
      <c r="S740">
        <v>-0.0010505725000351795</v>
      </c>
    </row>
    <row r="741" spans="1:19" ht="12.75">
      <c r="A741" s="1">
        <f>DATE(1992,6,1)</f>
        <v>33756</v>
      </c>
      <c r="B741">
        <v>1992</v>
      </c>
      <c r="C741">
        <v>6</v>
      </c>
      <c r="D741">
        <v>3.7</v>
      </c>
      <c r="H741">
        <v>-0.36892319443629795</v>
      </c>
      <c r="J741" s="2">
        <v>0.017400707624456682</v>
      </c>
      <c r="K741">
        <f t="shared" si="17"/>
        <v>0.040000000000000036</v>
      </c>
      <c r="L741" s="2">
        <v>0.0010614077709596966</v>
      </c>
      <c r="Q741">
        <v>-0.0027726618986583266</v>
      </c>
      <c r="R741">
        <f t="shared" si="18"/>
        <v>0.040000000000000036</v>
      </c>
      <c r="S741">
        <v>0.0006590682500438681</v>
      </c>
    </row>
    <row r="742" spans="1:19" ht="12.75">
      <c r="A742" s="1">
        <f>DATE(1992,7,1)</f>
        <v>33786</v>
      </c>
      <c r="B742">
        <v>1992</v>
      </c>
      <c r="C742">
        <v>7</v>
      </c>
      <c r="D742">
        <v>3.28</v>
      </c>
      <c r="H742">
        <v>-0.35599414517533057</v>
      </c>
      <c r="J742" s="2">
        <v>0.016147787047896375</v>
      </c>
      <c r="K742">
        <f t="shared" si="17"/>
        <v>-0.4200000000000004</v>
      </c>
      <c r="L742" s="2">
        <v>-0.0007421189405128001</v>
      </c>
      <c r="Q742">
        <v>-0.003504228429659095</v>
      </c>
      <c r="R742">
        <f t="shared" si="18"/>
        <v>-0.4200000000000004</v>
      </c>
      <c r="S742">
        <v>-0.0003076366460595957</v>
      </c>
    </row>
    <row r="743" spans="1:19" ht="12.75">
      <c r="A743" s="1">
        <f>DATE(1992,8,1)</f>
        <v>33817</v>
      </c>
      <c r="B743">
        <v>1992</v>
      </c>
      <c r="C743">
        <v>8</v>
      </c>
      <c r="D743">
        <v>3.14</v>
      </c>
      <c r="H743">
        <v>-0.34153845255877063</v>
      </c>
      <c r="J743" s="2">
        <v>0.014826298076059301</v>
      </c>
      <c r="K743">
        <f t="shared" si="17"/>
        <v>-0.13999999999999968</v>
      </c>
      <c r="L743" s="2">
        <v>0.00016838523167354377</v>
      </c>
      <c r="Q743">
        <v>-0.004330508446004088</v>
      </c>
      <c r="R743">
        <f t="shared" si="18"/>
        <v>-0.13999999999999968</v>
      </c>
      <c r="S743">
        <v>0.00019089884948717236</v>
      </c>
    </row>
    <row r="744" spans="1:19" ht="12.75">
      <c r="A744" s="1">
        <f>DATE(1992,9,1)</f>
        <v>33848</v>
      </c>
      <c r="B744">
        <v>1992</v>
      </c>
      <c r="C744">
        <v>9</v>
      </c>
      <c r="D744">
        <v>2.97</v>
      </c>
      <c r="H744">
        <v>-0.3255481157084983</v>
      </c>
      <c r="J744" s="2">
        <v>0.01340220652190492</v>
      </c>
      <c r="K744">
        <f t="shared" si="17"/>
        <v>-0.16999999999999993</v>
      </c>
      <c r="L744" s="2">
        <v>-0.0005695566528499689</v>
      </c>
      <c r="Q744">
        <v>-0.005272555620172592</v>
      </c>
      <c r="R744">
        <f t="shared" si="18"/>
        <v>-0.16999999999999993</v>
      </c>
      <c r="S744">
        <v>0.0002790106369359234</v>
      </c>
    </row>
    <row r="745" spans="1:19" ht="12.75">
      <c r="A745" s="1">
        <f>DATE(1992,10,1)</f>
        <v>33878</v>
      </c>
      <c r="B745">
        <v>1992</v>
      </c>
      <c r="C745">
        <v>10</v>
      </c>
      <c r="D745">
        <v>2.84</v>
      </c>
      <c r="H745">
        <v>-0.3079320862757422</v>
      </c>
      <c r="J745" s="2">
        <v>0.011890811722227475</v>
      </c>
      <c r="K745">
        <f t="shared" si="17"/>
        <v>-0.13000000000000034</v>
      </c>
      <c r="L745" s="2">
        <v>-0.0005768225778535646</v>
      </c>
      <c r="Q745">
        <v>-0.006298562254009547</v>
      </c>
      <c r="R745">
        <f t="shared" si="18"/>
        <v>-0.13000000000000034</v>
      </c>
      <c r="S745">
        <v>3.8881822993997044E-05</v>
      </c>
    </row>
    <row r="746" spans="1:19" ht="12.75">
      <c r="A746" s="1">
        <f>DATE(1992,11,1)</f>
        <v>33909</v>
      </c>
      <c r="B746">
        <v>1992</v>
      </c>
      <c r="C746">
        <v>11</v>
      </c>
      <c r="D746">
        <v>3.14</v>
      </c>
      <c r="H746">
        <v>-0.29286267754528056</v>
      </c>
      <c r="J746" s="2">
        <v>0.010578187498926802</v>
      </c>
      <c r="K746">
        <f t="shared" si="17"/>
        <v>0.30000000000000027</v>
      </c>
      <c r="L746" s="2">
        <v>2.6718504768659223E-06</v>
      </c>
      <c r="Q746">
        <v>-0.007127091440784619</v>
      </c>
      <c r="R746">
        <f t="shared" si="18"/>
        <v>0.30000000000000027</v>
      </c>
      <c r="S746">
        <v>-0.00021200349052146838</v>
      </c>
    </row>
    <row r="747" spans="1:19" ht="12.75">
      <c r="A747" s="1">
        <f>DATE(1992,12,1)</f>
        <v>33939</v>
      </c>
      <c r="B747">
        <v>1992</v>
      </c>
      <c r="C747">
        <v>12</v>
      </c>
      <c r="D747">
        <v>3.25</v>
      </c>
      <c r="H747">
        <v>-0.27972876024293303</v>
      </c>
      <c r="J747" s="2">
        <v>0.009365644680151145</v>
      </c>
      <c r="K747">
        <f t="shared" si="17"/>
        <v>0.10999999999999988</v>
      </c>
      <c r="L747" s="2">
        <v>-0.0007060447554959528</v>
      </c>
      <c r="Q747">
        <v>-0.00788786131588519</v>
      </c>
      <c r="R747">
        <f t="shared" si="18"/>
        <v>0.10999999999999988</v>
      </c>
      <c r="S747">
        <v>0.0005000458519439</v>
      </c>
    </row>
    <row r="748" spans="1:19" ht="12.75">
      <c r="A748" s="1">
        <f>DATE(1993,1,1)</f>
        <v>33970</v>
      </c>
      <c r="B748">
        <v>1993</v>
      </c>
      <c r="C748">
        <v>1</v>
      </c>
      <c r="D748">
        <v>3.06</v>
      </c>
      <c r="H748">
        <v>-0.26552983751284986</v>
      </c>
      <c r="J748" s="2">
        <v>0.008044132654133375</v>
      </c>
      <c r="K748">
        <f t="shared" si="17"/>
        <v>-0.18999999999999995</v>
      </c>
      <c r="L748" s="2">
        <v>-0.0006535952455112453</v>
      </c>
      <c r="Q748">
        <v>-0.008779658017328398</v>
      </c>
      <c r="R748">
        <f t="shared" si="18"/>
        <v>-0.18999999999999995</v>
      </c>
      <c r="S748">
        <v>0.0005976614729219252</v>
      </c>
    </row>
    <row r="749" spans="1:19" ht="12.75">
      <c r="A749" s="1">
        <f>DATE(1993,2,1)</f>
        <v>34001</v>
      </c>
      <c r="B749">
        <v>1993</v>
      </c>
      <c r="C749">
        <v>2</v>
      </c>
      <c r="D749">
        <v>2.95</v>
      </c>
      <c r="H749">
        <v>-0.25130106885276315</v>
      </c>
      <c r="J749" s="2">
        <v>0.006667963032481425</v>
      </c>
      <c r="K749">
        <f t="shared" si="17"/>
        <v>-0.10999999999999988</v>
      </c>
      <c r="L749" s="2">
        <v>-0.001383797177260632</v>
      </c>
      <c r="Q749">
        <v>-0.009758604207409677</v>
      </c>
      <c r="R749">
        <f t="shared" si="18"/>
        <v>-0.10999999999999988</v>
      </c>
      <c r="S749">
        <v>0.0006916289607398903</v>
      </c>
    </row>
    <row r="750" spans="1:19" ht="12.75">
      <c r="A750" s="1">
        <f>DATE(1993,3,1)</f>
        <v>34029</v>
      </c>
      <c r="B750">
        <v>1993</v>
      </c>
      <c r="C750">
        <v>3</v>
      </c>
      <c r="D750">
        <v>2.97</v>
      </c>
      <c r="H750">
        <v>-0.23901886884250942</v>
      </c>
      <c r="J750" s="2">
        <v>0.00531272129613457</v>
      </c>
      <c r="K750">
        <f aca="true" t="shared" si="19" ref="K750:K813">D750-D749</f>
        <v>0.020000000000000018</v>
      </c>
      <c r="L750" s="2">
        <v>0.00012383714714483255</v>
      </c>
      <c r="Q750">
        <v>-0.01073642134330258</v>
      </c>
      <c r="R750">
        <f t="shared" si="18"/>
        <v>0.020000000000000018</v>
      </c>
      <c r="S750">
        <v>0.0004196444385821322</v>
      </c>
    </row>
    <row r="751" spans="1:19" ht="12.75">
      <c r="A751" s="1">
        <f>DATE(1993,4,1)</f>
        <v>34060</v>
      </c>
      <c r="B751">
        <v>1993</v>
      </c>
      <c r="C751">
        <v>4</v>
      </c>
      <c r="D751">
        <v>2.89</v>
      </c>
      <c r="H751">
        <v>-0.22673907053910022</v>
      </c>
      <c r="J751" s="2">
        <v>0.003890802806538461</v>
      </c>
      <c r="K751">
        <f t="shared" si="19"/>
        <v>-0.08000000000000007</v>
      </c>
      <c r="L751" s="2">
        <v>-7.607847918688422E-05</v>
      </c>
      <c r="Q751">
        <v>-0.011768129329706377</v>
      </c>
      <c r="R751">
        <f t="shared" si="18"/>
        <v>-0.08000000000000007</v>
      </c>
      <c r="S751">
        <v>-3.804474431154877E-05</v>
      </c>
    </row>
    <row r="752" spans="1:19" ht="12.75">
      <c r="A752" s="1">
        <f>DATE(1993,5,1)</f>
        <v>34090</v>
      </c>
      <c r="B752">
        <v>1993</v>
      </c>
      <c r="C752">
        <v>5</v>
      </c>
      <c r="D752">
        <v>2.96</v>
      </c>
      <c r="H752">
        <v>-0.21495264570403302</v>
      </c>
      <c r="J752" s="2">
        <v>0.0025371322786860856</v>
      </c>
      <c r="K752">
        <f t="shared" si="19"/>
        <v>0.06999999999999984</v>
      </c>
      <c r="L752" s="2">
        <v>-0.00037651560103269443</v>
      </c>
      <c r="Q752">
        <v>-0.012782286620437615</v>
      </c>
      <c r="R752">
        <f t="shared" si="18"/>
        <v>0.06999999999999984</v>
      </c>
      <c r="S752">
        <v>0.0012142466062309632</v>
      </c>
    </row>
    <row r="753" spans="1:19" ht="12.75">
      <c r="A753" s="1">
        <f>DATE(1993,6,1)</f>
        <v>34121</v>
      </c>
      <c r="B753">
        <v>1993</v>
      </c>
      <c r="C753">
        <v>6</v>
      </c>
      <c r="D753">
        <v>3.1</v>
      </c>
      <c r="H753">
        <v>-0.20557432201505163</v>
      </c>
      <c r="J753" s="2">
        <v>0.0012684842966745016</v>
      </c>
      <c r="K753">
        <f t="shared" si="19"/>
        <v>0.14000000000000012</v>
      </c>
      <c r="L753" s="2">
        <v>-0.00027999444578631595</v>
      </c>
      <c r="Q753">
        <v>-0.013725349049580978</v>
      </c>
      <c r="R753">
        <f t="shared" si="18"/>
        <v>0.14000000000000012</v>
      </c>
      <c r="S753">
        <v>0.00085630763115227</v>
      </c>
    </row>
    <row r="754" spans="1:19" ht="12.75">
      <c r="A754" s="1">
        <f>DATE(1993,7,1)</f>
        <v>34151</v>
      </c>
      <c r="B754">
        <v>1993</v>
      </c>
      <c r="C754">
        <v>7</v>
      </c>
      <c r="D754">
        <v>3.05</v>
      </c>
      <c r="H754">
        <v>-0.1956628526676868</v>
      </c>
      <c r="J754" s="2">
        <v>-4.060970013873747E-05</v>
      </c>
      <c r="K754">
        <f t="shared" si="19"/>
        <v>-0.050000000000000266</v>
      </c>
      <c r="L754" s="2">
        <v>-0.00027626693211187136</v>
      </c>
      <c r="Q754">
        <v>-0.014720244187463849</v>
      </c>
      <c r="R754">
        <f t="shared" si="18"/>
        <v>-0.050000000000000266</v>
      </c>
      <c r="S754">
        <v>0.0010288029050893937</v>
      </c>
    </row>
    <row r="755" spans="1:19" ht="12.75">
      <c r="A755" s="1">
        <f>DATE(1993,8,1)</f>
        <v>34182</v>
      </c>
      <c r="B755">
        <v>1993</v>
      </c>
      <c r="C755">
        <v>8</v>
      </c>
      <c r="D755">
        <v>3.05</v>
      </c>
      <c r="H755">
        <v>-0.18652213729865724</v>
      </c>
      <c r="J755" s="2">
        <v>-0.0013312071956079535</v>
      </c>
      <c r="K755">
        <f t="shared" si="19"/>
        <v>0</v>
      </c>
      <c r="L755" s="2">
        <v>-0.00020969038597100657</v>
      </c>
      <c r="Q755">
        <v>-0.01573424865526812</v>
      </c>
      <c r="R755">
        <f t="shared" si="18"/>
        <v>0</v>
      </c>
      <c r="S755">
        <v>0.000987834644104776</v>
      </c>
    </row>
    <row r="756" spans="1:19" ht="12.75">
      <c r="A756" s="1">
        <f>DATE(1993,9,1)</f>
        <v>34213</v>
      </c>
      <c r="B756">
        <v>1993</v>
      </c>
      <c r="C756">
        <v>9</v>
      </c>
      <c r="D756">
        <v>2.96</v>
      </c>
      <c r="H756">
        <v>-0.17712794364294168</v>
      </c>
      <c r="J756" s="2">
        <v>-0.002698068287981627</v>
      </c>
      <c r="K756">
        <f t="shared" si="19"/>
        <v>-0.08999999999999986</v>
      </c>
      <c r="L756" s="2">
        <v>0.0003053062690647538</v>
      </c>
      <c r="Q756">
        <v>-0.016816379449180904</v>
      </c>
      <c r="R756">
        <f t="shared" si="18"/>
        <v>-0.08999999999999986</v>
      </c>
      <c r="S756">
        <v>0.0006402465922984036</v>
      </c>
    </row>
    <row r="757" spans="1:19" ht="12.75">
      <c r="A757" s="1">
        <f>DATE(1993,10,1)</f>
        <v>34243</v>
      </c>
      <c r="B757">
        <v>1993</v>
      </c>
      <c r="C757">
        <v>10</v>
      </c>
      <c r="D757">
        <v>3.04</v>
      </c>
      <c r="H757">
        <v>-0.16878010782750735</v>
      </c>
      <c r="J757" s="2">
        <v>-0.004023737286255295</v>
      </c>
      <c r="K757">
        <f t="shared" si="19"/>
        <v>0.08000000000000007</v>
      </c>
      <c r="L757" s="2">
        <v>0.0002793949441141749</v>
      </c>
      <c r="Q757">
        <v>-0.017847784243675932</v>
      </c>
      <c r="R757">
        <f t="shared" si="18"/>
        <v>0.08000000000000007</v>
      </c>
      <c r="S757">
        <v>0.0005643535912895048</v>
      </c>
    </row>
    <row r="758" spans="1:19" ht="12.75">
      <c r="A758" s="1">
        <f>DATE(1993,11,1)</f>
        <v>34274</v>
      </c>
      <c r="B758">
        <v>1993</v>
      </c>
      <c r="C758">
        <v>11</v>
      </c>
      <c r="D758">
        <v>3.12</v>
      </c>
      <c r="H758">
        <v>-0.1617795015279118</v>
      </c>
      <c r="J758" s="2">
        <v>-0.005297035531463817</v>
      </c>
      <c r="K758">
        <f t="shared" si="19"/>
        <v>0.08000000000000007</v>
      </c>
      <c r="L758" s="2">
        <v>0.0001211168980321674</v>
      </c>
      <c r="Q758">
        <v>-0.01882277226009647</v>
      </c>
      <c r="R758">
        <f t="shared" si="18"/>
        <v>0.08000000000000007</v>
      </c>
      <c r="S758">
        <v>1.0778983360030012E-05</v>
      </c>
    </row>
    <row r="759" spans="1:19" ht="12.75">
      <c r="A759" s="1">
        <f>DATE(1993,12,1)</f>
        <v>34304</v>
      </c>
      <c r="B759">
        <v>1993</v>
      </c>
      <c r="C759">
        <v>12</v>
      </c>
      <c r="D759">
        <v>3.08</v>
      </c>
      <c r="H759">
        <v>-0.15532172427750598</v>
      </c>
      <c r="J759" s="2">
        <v>-0.006597976106452399</v>
      </c>
      <c r="K759">
        <f t="shared" si="19"/>
        <v>-0.040000000000000036</v>
      </c>
      <c r="L759" s="2">
        <v>9.051122628040247E-05</v>
      </c>
      <c r="Q759">
        <v>-0.019822727432923806</v>
      </c>
      <c r="R759">
        <f t="shared" si="18"/>
        <v>-0.040000000000000036</v>
      </c>
      <c r="S759">
        <v>0.00025726369594446756</v>
      </c>
    </row>
    <row r="760" spans="1:19" ht="12.75">
      <c r="A760" s="1">
        <f>DATE(1994,1,1)</f>
        <v>34335</v>
      </c>
      <c r="B760">
        <v>1994</v>
      </c>
      <c r="C760">
        <v>1</v>
      </c>
      <c r="D760">
        <v>3.02</v>
      </c>
      <c r="H760">
        <v>-0.14788637138485816</v>
      </c>
      <c r="J760" s="2">
        <v>-0.007939054230325754</v>
      </c>
      <c r="K760">
        <f t="shared" si="19"/>
        <v>-0.06000000000000005</v>
      </c>
      <c r="L760" s="2">
        <v>0.00027466202163864076</v>
      </c>
      <c r="Q760">
        <v>-0.020843905780004245</v>
      </c>
      <c r="R760">
        <f t="shared" si="18"/>
        <v>-0.06000000000000005</v>
      </c>
      <c r="S760">
        <v>-0.00014221553335785054</v>
      </c>
    </row>
    <row r="761" spans="1:19" ht="12.75">
      <c r="A761" s="1">
        <f>DATE(1994,2,1)</f>
        <v>34366</v>
      </c>
      <c r="B761">
        <v>1994</v>
      </c>
      <c r="C761">
        <v>2</v>
      </c>
      <c r="D761">
        <v>3.21</v>
      </c>
      <c r="H761">
        <v>-0.140365376651008</v>
      </c>
      <c r="J761" s="2">
        <v>-0.009151029015625457</v>
      </c>
      <c r="K761">
        <f t="shared" si="19"/>
        <v>0.18999999999999995</v>
      </c>
      <c r="L761" s="2">
        <v>-0.0003564031809093803</v>
      </c>
      <c r="Q761">
        <v>-0.021708237528068046</v>
      </c>
      <c r="R761">
        <f t="shared" si="18"/>
        <v>0.18999999999999995</v>
      </c>
      <c r="S761">
        <v>0.00036327533906092325</v>
      </c>
    </row>
    <row r="762" spans="1:19" ht="12.75">
      <c r="A762" s="1">
        <f>DATE(1994,3,1)</f>
        <v>34394</v>
      </c>
      <c r="B762">
        <v>1994</v>
      </c>
      <c r="C762">
        <v>3</v>
      </c>
      <c r="D762">
        <v>3.52</v>
      </c>
      <c r="H762">
        <v>-0.13400701575540158</v>
      </c>
      <c r="J762" s="2">
        <v>-0.01014121962115103</v>
      </c>
      <c r="K762">
        <f t="shared" si="19"/>
        <v>0.31000000000000005</v>
      </c>
      <c r="L762" s="2">
        <v>0.0003458954917273825</v>
      </c>
      <c r="Q762">
        <v>-0.022385522332998516</v>
      </c>
      <c r="R762">
        <f t="shared" si="18"/>
        <v>0.31000000000000005</v>
      </c>
      <c r="S762">
        <v>0.0004401963009224261</v>
      </c>
    </row>
    <row r="763" spans="1:19" ht="12.75">
      <c r="A763" s="1">
        <f>DATE(1994,4,1)</f>
        <v>34425</v>
      </c>
      <c r="B763">
        <v>1994</v>
      </c>
      <c r="C763">
        <v>4</v>
      </c>
      <c r="D763">
        <v>3.74</v>
      </c>
      <c r="H763">
        <v>-0.1276813091614037</v>
      </c>
      <c r="J763" s="2">
        <v>-0.010981028099567438</v>
      </c>
      <c r="K763">
        <f t="shared" si="19"/>
        <v>0.2200000000000002</v>
      </c>
      <c r="L763" s="2">
        <v>0.0009201720238008205</v>
      </c>
      <c r="Q763">
        <v>-0.022926118800714705</v>
      </c>
      <c r="R763">
        <f t="shared" si="18"/>
        <v>0.2200000000000002</v>
      </c>
      <c r="S763">
        <v>8.855453965477717E-05</v>
      </c>
    </row>
    <row r="764" spans="1:19" ht="12.75">
      <c r="A764" s="1">
        <f>DATE(1994,5,1)</f>
        <v>34455</v>
      </c>
      <c r="B764">
        <v>1994</v>
      </c>
      <c r="C764">
        <v>5</v>
      </c>
      <c r="D764">
        <v>4.19</v>
      </c>
      <c r="H764">
        <v>-0.12484630743318938</v>
      </c>
      <c r="J764" s="2">
        <v>-0.01148312454838738</v>
      </c>
      <c r="K764">
        <f t="shared" si="19"/>
        <v>0.4500000000000002</v>
      </c>
      <c r="L764" s="2">
        <v>-0.00047244095785843615</v>
      </c>
      <c r="Q764">
        <v>-0.023177212024462</v>
      </c>
      <c r="R764">
        <f t="shared" si="18"/>
        <v>0.4500000000000002</v>
      </c>
      <c r="S764">
        <v>-0.000194772770856253</v>
      </c>
    </row>
    <row r="765" spans="1:19" ht="12.75">
      <c r="A765" s="1">
        <f>DATE(1994,6,1)</f>
        <v>34486</v>
      </c>
      <c r="B765">
        <v>1994</v>
      </c>
      <c r="C765">
        <v>6</v>
      </c>
      <c r="D765">
        <v>4.18</v>
      </c>
      <c r="H765">
        <v>-0.12142184137035479</v>
      </c>
      <c r="J765" s="2">
        <v>-0.01199684957980116</v>
      </c>
      <c r="K765">
        <f t="shared" si="19"/>
        <v>-0.010000000000000675</v>
      </c>
      <c r="L765" s="2">
        <v>8.018636426004401E-05</v>
      </c>
      <c r="Q765">
        <v>-0.023430050442143545</v>
      </c>
      <c r="R765">
        <f t="shared" si="18"/>
        <v>-0.010000000000000675</v>
      </c>
      <c r="S765">
        <v>-0.0003164548228848167</v>
      </c>
    </row>
    <row r="766" spans="1:19" ht="12.75">
      <c r="A766" s="1">
        <f>DATE(1994,7,1)</f>
        <v>34516</v>
      </c>
      <c r="B766">
        <v>1994</v>
      </c>
      <c r="C766">
        <v>7</v>
      </c>
      <c r="D766">
        <v>4.39</v>
      </c>
      <c r="H766">
        <v>-0.11927600587548907</v>
      </c>
      <c r="J766" s="2">
        <v>-0.01237305214037078</v>
      </c>
      <c r="K766">
        <f t="shared" si="19"/>
        <v>0.20999999999999996</v>
      </c>
      <c r="L766" s="2">
        <v>0.0006710998901748062</v>
      </c>
      <c r="Q766">
        <v>-0.02355100407040787</v>
      </c>
      <c r="R766">
        <f t="shared" si="18"/>
        <v>0.20999999999999996</v>
      </c>
      <c r="S766">
        <v>4.410464176340922E-05</v>
      </c>
    </row>
    <row r="767" spans="1:19" ht="12.75">
      <c r="A767" s="1">
        <f>DATE(1994,8,1)</f>
        <v>34547</v>
      </c>
      <c r="B767">
        <v>1994</v>
      </c>
      <c r="C767">
        <v>8</v>
      </c>
      <c r="D767">
        <v>4.5</v>
      </c>
      <c r="H767">
        <v>-0.11771622701517395</v>
      </c>
      <c r="J767" s="2">
        <v>-0.012661118029653001</v>
      </c>
      <c r="K767">
        <f t="shared" si="19"/>
        <v>0.11000000000000032</v>
      </c>
      <c r="L767" s="2">
        <v>-0.00041725056541468494</v>
      </c>
      <c r="Q767">
        <v>-0.02360441012455956</v>
      </c>
      <c r="R767">
        <f aca="true" t="shared" si="20" ref="R767:R830">D767-D766</f>
        <v>0.11000000000000032</v>
      </c>
      <c r="S767">
        <v>7.640194273659303E-05</v>
      </c>
    </row>
    <row r="768" spans="1:19" ht="12.75">
      <c r="A768" s="1">
        <f>DATE(1994,9,1)</f>
        <v>34578</v>
      </c>
      <c r="B768">
        <v>1994</v>
      </c>
      <c r="C768">
        <v>9</v>
      </c>
      <c r="D768">
        <v>4.64</v>
      </c>
      <c r="H768">
        <v>-0.11553234389008103</v>
      </c>
      <c r="J768" s="2">
        <v>-0.012854976778392726</v>
      </c>
      <c r="K768">
        <f t="shared" si="19"/>
        <v>0.13999999999999968</v>
      </c>
      <c r="L768" s="2">
        <v>0.00042832027552636484</v>
      </c>
      <c r="Q768">
        <v>-0.02356379524457639</v>
      </c>
      <c r="R768">
        <f t="shared" si="20"/>
        <v>0.13999999999999968</v>
      </c>
      <c r="S768">
        <v>-0.00029235821876874644</v>
      </c>
    </row>
    <row r="769" spans="1:19" ht="12.75">
      <c r="A769" s="1">
        <f>DATE(1994,10,1)</f>
        <v>34608</v>
      </c>
      <c r="B769">
        <v>1994</v>
      </c>
      <c r="C769">
        <v>10</v>
      </c>
      <c r="D769">
        <v>4.96</v>
      </c>
      <c r="H769">
        <v>-0.11434403822610717</v>
      </c>
      <c r="J769" s="2">
        <v>-0.012822142446601115</v>
      </c>
      <c r="K769">
        <f t="shared" si="19"/>
        <v>0.3200000000000003</v>
      </c>
      <c r="L769" s="2">
        <v>0.0002730779363729621</v>
      </c>
      <c r="Q769">
        <v>-0.023318200289405226</v>
      </c>
      <c r="R769">
        <f t="shared" si="20"/>
        <v>0.3200000000000003</v>
      </c>
      <c r="S769">
        <v>-7.229346518838813E-05</v>
      </c>
    </row>
    <row r="770" spans="1:19" ht="12.75">
      <c r="A770" s="1">
        <f>DATE(1994,11,1)</f>
        <v>34639</v>
      </c>
      <c r="B770">
        <v>1994</v>
      </c>
      <c r="C770">
        <v>11</v>
      </c>
      <c r="D770">
        <v>5.25</v>
      </c>
      <c r="H770">
        <v>-0.11341244785010096</v>
      </c>
      <c r="J770" s="2">
        <v>-0.012552424180877726</v>
      </c>
      <c r="K770">
        <f t="shared" si="19"/>
        <v>0.29000000000000004</v>
      </c>
      <c r="L770" s="2">
        <v>-0.000593091768857222</v>
      </c>
      <c r="Q770">
        <v>-0.02288731334096335</v>
      </c>
      <c r="R770">
        <f t="shared" si="20"/>
        <v>0.29000000000000004</v>
      </c>
      <c r="S770">
        <v>-2.7980837944724275E-05</v>
      </c>
    </row>
    <row r="771" spans="1:19" ht="12.75">
      <c r="A771" s="1">
        <f>DATE(1994,12,1)</f>
        <v>34669</v>
      </c>
      <c r="B771">
        <v>1994</v>
      </c>
      <c r="C771">
        <v>12</v>
      </c>
      <c r="D771">
        <v>5.64</v>
      </c>
      <c r="H771">
        <v>-0.11529756068562527</v>
      </c>
      <c r="J771" s="2">
        <v>-0.011987682763774925</v>
      </c>
      <c r="K771">
        <f t="shared" si="19"/>
        <v>0.3899999999999997</v>
      </c>
      <c r="L771" s="2">
        <v>-0.000340010628131027</v>
      </c>
      <c r="Q771">
        <v>-0.0222028995608838</v>
      </c>
      <c r="R771">
        <f t="shared" si="20"/>
        <v>0.3899999999999997</v>
      </c>
      <c r="S771">
        <v>-0.0002322156358412316</v>
      </c>
    </row>
    <row r="772" spans="1:19" ht="12.75">
      <c r="A772" s="1">
        <f>DATE(1995,1,1)</f>
        <v>34700</v>
      </c>
      <c r="B772">
        <v>1995</v>
      </c>
      <c r="C772">
        <v>1</v>
      </c>
      <c r="D772">
        <v>5.81</v>
      </c>
      <c r="H772">
        <v>-0.11894407728823775</v>
      </c>
      <c r="J772" s="2">
        <v>-0.011307323186449296</v>
      </c>
      <c r="K772">
        <f t="shared" si="19"/>
        <v>0.16999999999999993</v>
      </c>
      <c r="L772" s="2">
        <v>0.0003139257134728776</v>
      </c>
      <c r="Q772">
        <v>-0.02141558769003464</v>
      </c>
      <c r="R772">
        <f t="shared" si="20"/>
        <v>0.16999999999999993</v>
      </c>
      <c r="S772">
        <v>0.0003021851260384611</v>
      </c>
    </row>
    <row r="773" spans="1:19" ht="12.75">
      <c r="A773" s="1">
        <f>DATE(1995,2,1)</f>
        <v>34731</v>
      </c>
      <c r="B773">
        <v>1995</v>
      </c>
      <c r="C773">
        <v>2</v>
      </c>
      <c r="D773">
        <v>5.8</v>
      </c>
      <c r="H773">
        <v>-0.12301867632790942</v>
      </c>
      <c r="J773" s="2">
        <v>-0.010627084778177512</v>
      </c>
      <c r="K773">
        <f t="shared" si="19"/>
        <v>-0.009999999999999787</v>
      </c>
      <c r="L773" s="2">
        <v>-0.00033152829995919744</v>
      </c>
      <c r="Q773">
        <v>-0.020636464893584186</v>
      </c>
      <c r="R773">
        <f t="shared" si="20"/>
        <v>-0.009999999999999787</v>
      </c>
      <c r="S773">
        <v>0.0001059345340109742</v>
      </c>
    </row>
    <row r="774" spans="1:19" ht="12.75">
      <c r="A774" s="1">
        <f>DATE(1995,3,1)</f>
        <v>34759</v>
      </c>
      <c r="B774">
        <v>1995</v>
      </c>
      <c r="C774">
        <v>3</v>
      </c>
      <c r="D774">
        <v>5.73</v>
      </c>
      <c r="H774">
        <v>-0.12646800319675744</v>
      </c>
      <c r="J774" s="2">
        <v>-0.009993503087991676</v>
      </c>
      <c r="K774">
        <f t="shared" si="19"/>
        <v>-0.0699999999999994</v>
      </c>
      <c r="L774" s="2">
        <v>-0.00012562050505215288</v>
      </c>
      <c r="Q774">
        <v>-0.019897382362374264</v>
      </c>
      <c r="R774">
        <f t="shared" si="20"/>
        <v>-0.0699999999999994</v>
      </c>
      <c r="S774">
        <v>-0.00022981171657531125</v>
      </c>
    </row>
    <row r="775" spans="1:19" ht="12.75">
      <c r="A775" s="1">
        <f>DATE(1995,4,1)</f>
        <v>34790</v>
      </c>
      <c r="B775">
        <v>1995</v>
      </c>
      <c r="C775">
        <v>4</v>
      </c>
      <c r="D775">
        <v>5.67</v>
      </c>
      <c r="H775">
        <v>-0.1301132006491771</v>
      </c>
      <c r="J775" s="2">
        <v>-0.009403611615517449</v>
      </c>
      <c r="K775">
        <f t="shared" si="19"/>
        <v>-0.0600000000000005</v>
      </c>
      <c r="L775" s="2">
        <v>0.00013047214493872372</v>
      </c>
      <c r="Q775">
        <v>-0.019192071383734</v>
      </c>
      <c r="R775">
        <f t="shared" si="20"/>
        <v>-0.0600000000000005</v>
      </c>
      <c r="S775">
        <v>-0.00022795112015142443</v>
      </c>
    </row>
    <row r="776" spans="1:19" ht="12.75">
      <c r="A776" s="1">
        <f>DATE(1995,5,1)</f>
        <v>34820</v>
      </c>
      <c r="B776">
        <v>1995</v>
      </c>
      <c r="C776">
        <v>5</v>
      </c>
      <c r="D776">
        <v>5.7</v>
      </c>
      <c r="H776">
        <v>-0.1347967745183994</v>
      </c>
      <c r="J776" s="2">
        <v>-0.00879160393953799</v>
      </c>
      <c r="K776">
        <f t="shared" si="19"/>
        <v>0.03000000000000025</v>
      </c>
      <c r="L776" s="2">
        <v>3.068645192306022E-05</v>
      </c>
      <c r="Q776">
        <v>-0.018463615672066395</v>
      </c>
      <c r="R776">
        <f t="shared" si="20"/>
        <v>0.03000000000000025</v>
      </c>
      <c r="S776">
        <v>-0.00019961306529847587</v>
      </c>
    </row>
    <row r="777" spans="1:19" ht="12.75">
      <c r="A777" s="1">
        <f>DATE(1995,6,1)</f>
        <v>34851</v>
      </c>
      <c r="B777">
        <v>1995</v>
      </c>
      <c r="C777">
        <v>6</v>
      </c>
      <c r="D777">
        <v>5.5</v>
      </c>
      <c r="H777">
        <v>-0.13819730224365068</v>
      </c>
      <c r="J777" s="2">
        <v>-0.008315947939337789</v>
      </c>
      <c r="K777">
        <f t="shared" si="19"/>
        <v>-0.20000000000000018</v>
      </c>
      <c r="L777" s="2">
        <v>-0.00012477586599328585</v>
      </c>
      <c r="Q777">
        <v>-0.017865626728620566</v>
      </c>
      <c r="R777">
        <f t="shared" si="20"/>
        <v>-0.20000000000000018</v>
      </c>
      <c r="S777">
        <v>0.00013837068761594044</v>
      </c>
    </row>
    <row r="778" spans="1:19" ht="12.75">
      <c r="A778" s="1">
        <f>DATE(1995,7,1)</f>
        <v>34881</v>
      </c>
      <c r="B778">
        <v>1995</v>
      </c>
      <c r="C778">
        <v>7</v>
      </c>
      <c r="D778">
        <v>5.47</v>
      </c>
      <c r="H778">
        <v>-0.14181422833687235</v>
      </c>
      <c r="J778" s="2">
        <v>-0.007859409043363273</v>
      </c>
      <c r="K778">
        <f t="shared" si="19"/>
        <v>-0.03000000000000025</v>
      </c>
      <c r="L778" s="2">
        <v>-0.00021318645717720313</v>
      </c>
      <c r="Q778">
        <v>-0.01728682799553295</v>
      </c>
      <c r="R778">
        <f t="shared" si="20"/>
        <v>-0.03000000000000025</v>
      </c>
      <c r="S778">
        <v>-6.415865501187539E-06</v>
      </c>
    </row>
    <row r="779" spans="1:19" ht="12.75">
      <c r="A779" s="1">
        <f>DATE(1995,8,1)</f>
        <v>34912</v>
      </c>
      <c r="B779">
        <v>1995</v>
      </c>
      <c r="C779">
        <v>8</v>
      </c>
      <c r="D779">
        <v>5.41</v>
      </c>
      <c r="H779">
        <v>-0.14542912110629522</v>
      </c>
      <c r="J779" s="2">
        <v>-0.007429557882350649</v>
      </c>
      <c r="K779">
        <f t="shared" si="19"/>
        <v>-0.05999999999999961</v>
      </c>
      <c r="L779" s="2">
        <v>-0.0005096067668116884</v>
      </c>
      <c r="Q779">
        <v>-0.016742725433624678</v>
      </c>
      <c r="R779">
        <f t="shared" si="20"/>
        <v>-0.05999999999999961</v>
      </c>
      <c r="S779">
        <v>-0.00019755619613334315</v>
      </c>
    </row>
    <row r="780" spans="1:19" ht="12.75">
      <c r="A780" s="1">
        <f>DATE(1995,9,1)</f>
        <v>34943</v>
      </c>
      <c r="B780">
        <v>1995</v>
      </c>
      <c r="C780">
        <v>9</v>
      </c>
      <c r="D780">
        <v>5.26</v>
      </c>
      <c r="H780">
        <v>-0.14709676117559525</v>
      </c>
      <c r="J780" s="2">
        <v>-0.007098031162345618</v>
      </c>
      <c r="K780">
        <f t="shared" si="19"/>
        <v>-0.15000000000000036</v>
      </c>
      <c r="L780" s="2">
        <v>-0.0003575629717986853</v>
      </c>
      <c r="Q780">
        <v>-0.016297859875797276</v>
      </c>
      <c r="R780">
        <f t="shared" si="20"/>
        <v>-0.15000000000000036</v>
      </c>
      <c r="S780">
        <v>0.00015798028303247284</v>
      </c>
    </row>
    <row r="781" spans="1:19" ht="12.75">
      <c r="A781" s="1">
        <f>DATE(1995,10,1)</f>
        <v>34973</v>
      </c>
      <c r="B781">
        <v>1995</v>
      </c>
      <c r="C781">
        <v>10</v>
      </c>
      <c r="D781">
        <v>5.3</v>
      </c>
      <c r="H781">
        <v>-0.1496275497076652</v>
      </c>
      <c r="J781" s="2">
        <v>-0.00674147494418169</v>
      </c>
      <c r="K781">
        <f t="shared" si="19"/>
        <v>0.040000000000000036</v>
      </c>
      <c r="L781" s="2">
        <v>-6.529548575614483E-07</v>
      </c>
      <c r="Q781">
        <v>-0.015825728832426472</v>
      </c>
      <c r="R781">
        <f t="shared" si="20"/>
        <v>0.040000000000000036</v>
      </c>
      <c r="S781">
        <v>-0.00010917634097763775</v>
      </c>
    </row>
    <row r="782" spans="1:19" ht="12.75">
      <c r="A782" s="1">
        <f>DATE(1995,11,1)</f>
        <v>35004</v>
      </c>
      <c r="B782">
        <v>1995</v>
      </c>
      <c r="C782">
        <v>11</v>
      </c>
      <c r="D782">
        <v>5.35</v>
      </c>
      <c r="H782">
        <v>-0.15389096608209007</v>
      </c>
      <c r="J782" s="2">
        <v>-0.006330993063910747</v>
      </c>
      <c r="K782">
        <f t="shared" si="19"/>
        <v>0.04999999999999982</v>
      </c>
      <c r="L782" s="2">
        <v>-0.0005619485930569993</v>
      </c>
      <c r="Q782">
        <v>-0.01532450176016788</v>
      </c>
      <c r="R782">
        <f t="shared" si="20"/>
        <v>0.04999999999999982</v>
      </c>
      <c r="S782">
        <v>0.00012722543672591654</v>
      </c>
    </row>
    <row r="783" spans="1:19" ht="12.75">
      <c r="A783" s="1">
        <f>DATE(1995,12,1)</f>
        <v>35034</v>
      </c>
      <c r="B783">
        <v>1995</v>
      </c>
      <c r="C783">
        <v>12</v>
      </c>
      <c r="D783">
        <v>5.16</v>
      </c>
      <c r="H783">
        <v>-0.15721367461464178</v>
      </c>
      <c r="J783" s="2">
        <v>-0.0060491298459981165</v>
      </c>
      <c r="K783">
        <f t="shared" si="19"/>
        <v>-0.1899999999999995</v>
      </c>
      <c r="L783" s="2">
        <v>-0.00016386075148071567</v>
      </c>
      <c r="Q783">
        <v>-0.014941370260636236</v>
      </c>
      <c r="R783">
        <f t="shared" si="20"/>
        <v>-0.1899999999999995</v>
      </c>
      <c r="S783">
        <v>-0.00019216222745280497</v>
      </c>
    </row>
    <row r="784" spans="1:19" ht="12.75">
      <c r="A784" s="1">
        <f>DATE(1996,1,1)</f>
        <v>35065</v>
      </c>
      <c r="B784">
        <v>1996</v>
      </c>
      <c r="C784">
        <v>1</v>
      </c>
      <c r="D784">
        <v>5.02</v>
      </c>
      <c r="H784">
        <v>-0.1595984548087475</v>
      </c>
      <c r="J784" s="2">
        <v>-0.005893330901904956</v>
      </c>
      <c r="K784">
        <f t="shared" si="19"/>
        <v>-0.14000000000000057</v>
      </c>
      <c r="L784" s="2">
        <v>-0.00016564700549941597</v>
      </c>
      <c r="Q784">
        <v>-0.014648305172570321</v>
      </c>
      <c r="R784">
        <f t="shared" si="20"/>
        <v>-0.14000000000000057</v>
      </c>
      <c r="S784">
        <v>-1.259950093111408E-06</v>
      </c>
    </row>
    <row r="785" spans="1:19" ht="12.75">
      <c r="A785" s="1">
        <f>DATE(1996,2,1)</f>
        <v>35096</v>
      </c>
      <c r="B785">
        <v>1996</v>
      </c>
      <c r="C785">
        <v>2</v>
      </c>
      <c r="D785">
        <v>4.87</v>
      </c>
      <c r="H785">
        <v>-0.1599178104185959</v>
      </c>
      <c r="J785" s="2">
        <v>-0.005840983653504771</v>
      </c>
      <c r="K785">
        <f t="shared" si="19"/>
        <v>-0.14999999999999947</v>
      </c>
      <c r="L785" s="2">
        <v>-0.0002270387051249514</v>
      </c>
      <c r="Q785">
        <v>-0.014447464212053316</v>
      </c>
      <c r="R785">
        <f t="shared" si="20"/>
        <v>-0.14999999999999947</v>
      </c>
      <c r="S785">
        <v>-0.00022765050856596699</v>
      </c>
    </row>
    <row r="786" spans="1:19" ht="12.75">
      <c r="A786" s="1">
        <f>DATE(1996,3,1)</f>
        <v>35125</v>
      </c>
      <c r="B786">
        <v>1996</v>
      </c>
      <c r="C786">
        <v>3</v>
      </c>
      <c r="D786">
        <v>4.96</v>
      </c>
      <c r="H786">
        <v>-0.16044107577184938</v>
      </c>
      <c r="J786" s="2">
        <v>-0.005712300537504108</v>
      </c>
      <c r="K786">
        <f t="shared" si="19"/>
        <v>0.08999999999999986</v>
      </c>
      <c r="L786" s="2">
        <v>-0.0006419065796656942</v>
      </c>
      <c r="Q786">
        <v>-0.014186549037764678</v>
      </c>
      <c r="R786">
        <f t="shared" si="20"/>
        <v>0.08999999999999986</v>
      </c>
      <c r="S786">
        <v>-0.00017751811809370315</v>
      </c>
    </row>
    <row r="787" spans="1:19" ht="12.75">
      <c r="A787" s="1">
        <f>DATE(1996,4,1)</f>
        <v>35156</v>
      </c>
      <c r="B787">
        <v>1996</v>
      </c>
      <c r="C787">
        <v>4</v>
      </c>
      <c r="D787">
        <v>4.99</v>
      </c>
      <c r="H787">
        <v>-0.1616450803609306</v>
      </c>
      <c r="J787" s="2">
        <v>-0.005544770906738624</v>
      </c>
      <c r="K787">
        <f t="shared" si="19"/>
        <v>0.03000000000000025</v>
      </c>
      <c r="L787" s="2">
        <v>-0.0008366362066610475</v>
      </c>
      <c r="Q787">
        <v>-0.013906258729395894</v>
      </c>
      <c r="R787">
        <f t="shared" si="20"/>
        <v>0.03000000000000025</v>
      </c>
      <c r="S787">
        <v>-5.267959971273313E-05</v>
      </c>
    </row>
    <row r="788" spans="1:19" ht="12.75">
      <c r="A788" s="1">
        <f>DATE(1996,5,1)</f>
        <v>35186</v>
      </c>
      <c r="B788">
        <v>1996</v>
      </c>
      <c r="C788">
        <v>5</v>
      </c>
      <c r="D788">
        <v>5.02</v>
      </c>
      <c r="H788">
        <v>-0.16277838239060716</v>
      </c>
      <c r="J788" s="2">
        <v>-0.005374970732856707</v>
      </c>
      <c r="K788">
        <f t="shared" si="19"/>
        <v>0.02999999999999936</v>
      </c>
      <c r="L788" s="2">
        <v>0.0008059847859424916</v>
      </c>
      <c r="Q788">
        <v>-0.013613008717608042</v>
      </c>
      <c r="R788">
        <f t="shared" si="20"/>
        <v>0.02999999999999936</v>
      </c>
      <c r="S788">
        <v>0.000278318999841737</v>
      </c>
    </row>
    <row r="789" spans="1:19" ht="12.75">
      <c r="A789" s="1">
        <f>DATE(1996,6,1)</f>
        <v>35217</v>
      </c>
      <c r="B789">
        <v>1996</v>
      </c>
      <c r="C789">
        <v>6</v>
      </c>
      <c r="D789">
        <v>5.11</v>
      </c>
      <c r="H789">
        <v>-0.1649718368563724</v>
      </c>
      <c r="J789" s="2">
        <v>-0.005141653134008408</v>
      </c>
      <c r="K789">
        <f t="shared" si="19"/>
        <v>0.09000000000000075</v>
      </c>
      <c r="L789" s="2">
        <v>8.437455812142373E-06</v>
      </c>
      <c r="Q789">
        <v>-0.013262842420223186</v>
      </c>
      <c r="R789">
        <f t="shared" si="20"/>
        <v>0.09000000000000075</v>
      </c>
      <c r="S789">
        <v>-7.838103798799104E-06</v>
      </c>
    </row>
    <row r="790" spans="1:19" ht="12.75">
      <c r="A790" s="1">
        <f>DATE(1996,7,1)</f>
        <v>35247</v>
      </c>
      <c r="B790">
        <v>1996</v>
      </c>
      <c r="C790">
        <v>7</v>
      </c>
      <c r="D790">
        <v>5.17</v>
      </c>
      <c r="H790">
        <v>-0.16767387392697924</v>
      </c>
      <c r="J790" s="2">
        <v>-0.004867241849617052</v>
      </c>
      <c r="K790">
        <f t="shared" si="19"/>
        <v>0.05999999999999961</v>
      </c>
      <c r="L790" s="2">
        <v>0.00011302633218942762</v>
      </c>
      <c r="Q790">
        <v>-0.01287553326856873</v>
      </c>
      <c r="R790">
        <f t="shared" si="20"/>
        <v>0.05999999999999961</v>
      </c>
      <c r="S790">
        <v>2.73762662168084E-05</v>
      </c>
    </row>
    <row r="791" spans="1:19" ht="12.75">
      <c r="A791" s="1">
        <f>DATE(1996,8,1)</f>
        <v>35278</v>
      </c>
      <c r="B791">
        <v>1996</v>
      </c>
      <c r="C791">
        <v>8</v>
      </c>
      <c r="D791">
        <v>5.09</v>
      </c>
      <c r="H791">
        <v>-0.16898034611169602</v>
      </c>
      <c r="J791" s="2">
        <v>-0.004657179262274997</v>
      </c>
      <c r="K791">
        <f t="shared" si="19"/>
        <v>-0.08000000000000007</v>
      </c>
      <c r="L791" s="2">
        <v>0.0002993274199554289</v>
      </c>
      <c r="Q791">
        <v>-0.012536723729685574</v>
      </c>
      <c r="R791">
        <f t="shared" si="20"/>
        <v>-0.08000000000000007</v>
      </c>
      <c r="S791">
        <v>-0.00016859196256299743</v>
      </c>
    </row>
    <row r="792" spans="1:19" ht="12.75">
      <c r="A792" s="1">
        <f>DATE(1996,9,1)</f>
        <v>35309</v>
      </c>
      <c r="B792">
        <v>1996</v>
      </c>
      <c r="C792">
        <v>9</v>
      </c>
      <c r="D792">
        <v>5.15</v>
      </c>
      <c r="H792">
        <v>-0.17070364967512003</v>
      </c>
      <c r="J792" s="2">
        <v>-0.004404204523583576</v>
      </c>
      <c r="K792">
        <f t="shared" si="19"/>
        <v>0.0600000000000005</v>
      </c>
      <c r="L792" s="2">
        <v>9.876835574210481E-05</v>
      </c>
      <c r="Q792">
        <v>-0.01215528052448142</v>
      </c>
      <c r="R792">
        <f t="shared" si="20"/>
        <v>0.0600000000000005</v>
      </c>
      <c r="S792">
        <v>-0.00025692742842796373</v>
      </c>
    </row>
    <row r="793" spans="1:19" ht="12.75">
      <c r="A793" s="1">
        <f>DATE(1996,10,1)</f>
        <v>35339</v>
      </c>
      <c r="B793">
        <v>1996</v>
      </c>
      <c r="C793">
        <v>10</v>
      </c>
      <c r="D793">
        <v>5.01</v>
      </c>
      <c r="H793">
        <v>-0.17104944225976437</v>
      </c>
      <c r="J793" s="2">
        <v>-0.004246669222788453</v>
      </c>
      <c r="K793">
        <f t="shared" si="19"/>
        <v>-0.14000000000000057</v>
      </c>
      <c r="L793" s="2">
        <v>-0.00011884346217450292</v>
      </c>
      <c r="Q793">
        <v>-0.011868114301642514</v>
      </c>
      <c r="R793">
        <f t="shared" si="20"/>
        <v>-0.14000000000000057</v>
      </c>
      <c r="S793">
        <v>0.00021031708539833588</v>
      </c>
    </row>
    <row r="794" spans="1:19" ht="12.75">
      <c r="A794" s="1">
        <f>DATE(1996,11,1)</f>
        <v>35370</v>
      </c>
      <c r="B794">
        <v>1996</v>
      </c>
      <c r="C794">
        <v>11</v>
      </c>
      <c r="D794">
        <v>5.03</v>
      </c>
      <c r="H794">
        <v>-0.17175282997825572</v>
      </c>
      <c r="J794" s="2">
        <v>-0.004078844660035944</v>
      </c>
      <c r="K794">
        <f t="shared" si="19"/>
        <v>0.020000000000000462</v>
      </c>
      <c r="L794" s="2">
        <v>0.0005334441386011495</v>
      </c>
      <c r="Q794">
        <v>-0.011569420621481653</v>
      </c>
      <c r="R794">
        <f t="shared" si="20"/>
        <v>0.020000000000000462</v>
      </c>
      <c r="S794">
        <v>2.167387265113985E-05</v>
      </c>
    </row>
    <row r="795" spans="1:19" ht="12.75">
      <c r="A795" s="1">
        <f>DATE(1996,12,1)</f>
        <v>35400</v>
      </c>
      <c r="B795">
        <v>1996</v>
      </c>
      <c r="C795">
        <v>12</v>
      </c>
      <c r="D795">
        <v>4.87</v>
      </c>
      <c r="H795">
        <v>-0.1703112286501965</v>
      </c>
      <c r="J795" s="2">
        <v>-0.004030890260955053</v>
      </c>
      <c r="K795">
        <f t="shared" si="19"/>
        <v>-0.16000000000000014</v>
      </c>
      <c r="L795" s="2">
        <v>0.00032489324593013464</v>
      </c>
      <c r="Q795">
        <v>-0.011367128720992525</v>
      </c>
      <c r="R795">
        <f t="shared" si="20"/>
        <v>-0.16000000000000014</v>
      </c>
      <c r="S795">
        <v>-0.00034566728518766257</v>
      </c>
    </row>
    <row r="796" spans="1:19" ht="12.75">
      <c r="A796" s="1">
        <f>DATE(1997,1,1)</f>
        <v>35431</v>
      </c>
      <c r="B796">
        <v>1997</v>
      </c>
      <c r="C796">
        <v>1</v>
      </c>
      <c r="D796">
        <v>5.05</v>
      </c>
      <c r="H796">
        <v>-0.16930531024824733</v>
      </c>
      <c r="J796" s="2">
        <v>-0.0038614591252801186</v>
      </c>
      <c r="K796">
        <f t="shared" si="19"/>
        <v>0.17999999999999972</v>
      </c>
      <c r="L796" s="2">
        <v>0.0003291784057686389</v>
      </c>
      <c r="Q796">
        <v>-0.01104741957408413</v>
      </c>
      <c r="R796">
        <f t="shared" si="20"/>
        <v>0.17999999999999972</v>
      </c>
      <c r="S796">
        <v>-0.0001718259086406762</v>
      </c>
    </row>
    <row r="797" spans="1:19" ht="12.75">
      <c r="A797" s="1">
        <f>DATE(1997,2,1)</f>
        <v>35462</v>
      </c>
      <c r="B797">
        <v>1997</v>
      </c>
      <c r="C797">
        <v>2</v>
      </c>
      <c r="D797">
        <v>5</v>
      </c>
      <c r="H797">
        <v>-0.16673708625052738</v>
      </c>
      <c r="J797" s="2">
        <v>-0.0037410106102096596</v>
      </c>
      <c r="K797">
        <f t="shared" si="19"/>
        <v>-0.04999999999999982</v>
      </c>
      <c r="L797" s="2">
        <v>0.0005151957209304444</v>
      </c>
      <c r="Q797">
        <v>-0.010769338594450237</v>
      </c>
      <c r="R797">
        <f t="shared" si="20"/>
        <v>-0.04999999999999982</v>
      </c>
      <c r="S797">
        <v>0.00045421866890689704</v>
      </c>
    </row>
    <row r="798" spans="1:19" ht="12.75">
      <c r="A798" s="1">
        <f>DATE(1997,3,1)</f>
        <v>35490</v>
      </c>
      <c r="B798">
        <v>1997</v>
      </c>
      <c r="C798">
        <v>3</v>
      </c>
      <c r="D798">
        <v>5.14</v>
      </c>
      <c r="H798">
        <v>-0.1648513668404393</v>
      </c>
      <c r="J798" s="2">
        <v>-0.0035266923238972668</v>
      </c>
      <c r="K798">
        <f t="shared" si="19"/>
        <v>0.13999999999999968</v>
      </c>
      <c r="L798" s="2">
        <v>0.0002750195814050353</v>
      </c>
      <c r="Q798">
        <v>-0.010401959348041737</v>
      </c>
      <c r="R798">
        <f t="shared" si="20"/>
        <v>0.13999999999999968</v>
      </c>
      <c r="S798">
        <v>-3.4436007890833034E-05</v>
      </c>
    </row>
    <row r="799" spans="1:19" ht="12.75">
      <c r="A799" s="1">
        <f>DATE(1997,4,1)</f>
        <v>35521</v>
      </c>
      <c r="B799">
        <v>1997</v>
      </c>
      <c r="C799">
        <v>4</v>
      </c>
      <c r="D799">
        <v>5.17</v>
      </c>
      <c r="H799">
        <v>-0.16325637131398815</v>
      </c>
      <c r="J799" s="2">
        <v>-0.0033064361176320385</v>
      </c>
      <c r="K799">
        <f t="shared" si="19"/>
        <v>0.03000000000000025</v>
      </c>
      <c r="L799" s="2">
        <v>0.000654462023034334</v>
      </c>
      <c r="Q799">
        <v>-0.010010724123521518</v>
      </c>
      <c r="R799">
        <f t="shared" si="20"/>
        <v>0.03000000000000025</v>
      </c>
      <c r="S799">
        <v>-0.0002780538047986699</v>
      </c>
    </row>
    <row r="800" spans="1:19" ht="12.75">
      <c r="A800" s="1">
        <f>DATE(1997,5,1)</f>
        <v>35551</v>
      </c>
      <c r="B800">
        <v>1997</v>
      </c>
      <c r="C800">
        <v>5</v>
      </c>
      <c r="D800">
        <v>5.13</v>
      </c>
      <c r="H800">
        <v>-0.16136156972426652</v>
      </c>
      <c r="J800" s="2">
        <v>-0.0031289524405283104</v>
      </c>
      <c r="K800">
        <f t="shared" si="19"/>
        <v>-0.040000000000000036</v>
      </c>
      <c r="L800" s="2">
        <v>0.0006353953372927048</v>
      </c>
      <c r="Q800">
        <v>-0.00964260071325195</v>
      </c>
      <c r="R800">
        <f t="shared" si="20"/>
        <v>-0.040000000000000036</v>
      </c>
      <c r="S800">
        <v>-0.0001631678208169267</v>
      </c>
    </row>
    <row r="801" spans="1:19" ht="12.75">
      <c r="A801" s="1">
        <f>DATE(1997,6,1)</f>
        <v>35582</v>
      </c>
      <c r="B801">
        <v>1997</v>
      </c>
      <c r="C801">
        <v>6</v>
      </c>
      <c r="D801">
        <v>4.92</v>
      </c>
      <c r="H801">
        <v>-0.1568795129623017</v>
      </c>
      <c r="J801" s="2">
        <v>-0.003111887657817659</v>
      </c>
      <c r="K801">
        <f t="shared" si="19"/>
        <v>-0.20999999999999996</v>
      </c>
      <c r="L801" s="2">
        <v>0.0004569529379055948</v>
      </c>
      <c r="Q801">
        <v>-0.0094068030643519</v>
      </c>
      <c r="R801">
        <f t="shared" si="20"/>
        <v>-0.20999999999999996</v>
      </c>
      <c r="S801">
        <v>-0.00013939686314831418</v>
      </c>
    </row>
    <row r="802" spans="1:19" ht="12.75">
      <c r="A802" s="1">
        <f>DATE(1997,7,1)</f>
        <v>35612</v>
      </c>
      <c r="B802">
        <v>1997</v>
      </c>
      <c r="C802">
        <v>7</v>
      </c>
      <c r="D802">
        <v>5.07</v>
      </c>
      <c r="H802">
        <v>-0.15364034482685524</v>
      </c>
      <c r="J802" s="2">
        <v>-0.0029949945770967835</v>
      </c>
      <c r="K802">
        <f t="shared" si="19"/>
        <v>0.15000000000000036</v>
      </c>
      <c r="L802" s="2">
        <v>0.0004643057015933289</v>
      </c>
      <c r="Q802">
        <v>-0.009065974407410839</v>
      </c>
      <c r="R802">
        <f t="shared" si="20"/>
        <v>0.15000000000000036</v>
      </c>
      <c r="S802">
        <v>-0.00043095377885998874</v>
      </c>
    </row>
    <row r="803" spans="1:19" ht="12.75">
      <c r="A803" s="1">
        <f>DATE(1997,8,1)</f>
        <v>35643</v>
      </c>
      <c r="B803">
        <v>1997</v>
      </c>
      <c r="C803">
        <v>8</v>
      </c>
      <c r="D803">
        <v>5.13</v>
      </c>
      <c r="H803">
        <v>-0.15076565312014817</v>
      </c>
      <c r="J803" s="2">
        <v>-0.0028416836000494153</v>
      </c>
      <c r="K803">
        <f t="shared" si="19"/>
        <v>0.05999999999999961</v>
      </c>
      <c r="L803" s="2">
        <v>0.00046328497366966725</v>
      </c>
      <c r="Q803">
        <v>-0.008684180866619545</v>
      </c>
      <c r="R803">
        <f t="shared" si="20"/>
        <v>0.05999999999999961</v>
      </c>
      <c r="S803">
        <v>-0.00026692734880245017</v>
      </c>
    </row>
    <row r="804" spans="1:19" ht="12.75">
      <c r="A804" s="1">
        <f>DATE(1997,9,1)</f>
        <v>35674</v>
      </c>
      <c r="B804">
        <v>1997</v>
      </c>
      <c r="C804">
        <v>9</v>
      </c>
      <c r="D804">
        <v>4.97</v>
      </c>
      <c r="H804">
        <v>-0.1456421178436021</v>
      </c>
      <c r="J804" s="2">
        <v>-0.0027980583943175057</v>
      </c>
      <c r="K804">
        <f t="shared" si="19"/>
        <v>-0.16000000000000014</v>
      </c>
      <c r="L804" s="2">
        <v>0.0002174531801490119</v>
      </c>
      <c r="Q804">
        <v>-0.008410951396442825</v>
      </c>
      <c r="R804">
        <f t="shared" si="20"/>
        <v>-0.16000000000000014</v>
      </c>
      <c r="S804">
        <v>0.0002810237686396712</v>
      </c>
    </row>
    <row r="805" spans="1:19" ht="12.75">
      <c r="A805" s="1">
        <f>DATE(1997,10,1)</f>
        <v>35704</v>
      </c>
      <c r="B805">
        <v>1997</v>
      </c>
      <c r="C805">
        <v>10</v>
      </c>
      <c r="D805">
        <v>4.95</v>
      </c>
      <c r="H805">
        <v>-0.13888304028796133</v>
      </c>
      <c r="J805" s="2">
        <v>-0.0027618337519101405</v>
      </c>
      <c r="K805">
        <f t="shared" si="19"/>
        <v>-0.019999999999999574</v>
      </c>
      <c r="L805" s="2">
        <v>-3.359650962863175E-05</v>
      </c>
      <c r="Q805">
        <v>-0.008146447077955607</v>
      </c>
      <c r="R805">
        <f t="shared" si="20"/>
        <v>-0.019999999999999574</v>
      </c>
      <c r="S805">
        <v>-0.00025941324745671664</v>
      </c>
    </row>
    <row r="806" spans="1:19" ht="12.75">
      <c r="A806" s="1">
        <f>DATE(1997,11,1)</f>
        <v>35735</v>
      </c>
      <c r="B806">
        <v>1997</v>
      </c>
      <c r="C806">
        <v>11</v>
      </c>
      <c r="D806">
        <v>5.15</v>
      </c>
      <c r="H806">
        <v>-0.1330257619191975</v>
      </c>
      <c r="J806" s="2">
        <v>-0.0025811713633907135</v>
      </c>
      <c r="K806">
        <f t="shared" si="19"/>
        <v>0.20000000000000018</v>
      </c>
      <c r="L806" s="2">
        <v>0.00030249581708145275</v>
      </c>
      <c r="Q806">
        <v>-0.007763183085335451</v>
      </c>
      <c r="R806">
        <f t="shared" si="20"/>
        <v>0.20000000000000018</v>
      </c>
      <c r="S806">
        <v>0.0004163796272307553</v>
      </c>
    </row>
    <row r="807" spans="1:19" ht="12.75">
      <c r="A807" s="1">
        <f>DATE(1997,12,1)</f>
        <v>35765</v>
      </c>
      <c r="B807">
        <v>1997</v>
      </c>
      <c r="C807">
        <v>12</v>
      </c>
      <c r="D807">
        <v>5.16</v>
      </c>
      <c r="H807">
        <v>-0.12801669084869866</v>
      </c>
      <c r="J807" s="2">
        <v>-0.002370565338593521</v>
      </c>
      <c r="K807">
        <f t="shared" si="19"/>
        <v>0.009999999999999787</v>
      </c>
      <c r="L807" s="2">
        <v>-0.00037757515438102777</v>
      </c>
      <c r="Q807">
        <v>-0.007359738426194006</v>
      </c>
      <c r="R807">
        <f t="shared" si="20"/>
        <v>0.009999999999999787</v>
      </c>
      <c r="S807">
        <v>-0.0007495515354585676</v>
      </c>
    </row>
    <row r="808" spans="1:19" ht="12.75">
      <c r="A808" s="1">
        <f>DATE(1998,1,1)</f>
        <v>35796</v>
      </c>
      <c r="B808">
        <v>1998</v>
      </c>
      <c r="C808">
        <v>1</v>
      </c>
      <c r="D808">
        <v>5.09</v>
      </c>
      <c r="H808">
        <v>-0.1225186298798372</v>
      </c>
      <c r="J808" s="2">
        <v>-0.0021713252451508714</v>
      </c>
      <c r="K808">
        <f t="shared" si="19"/>
        <v>-0.07000000000000028</v>
      </c>
      <c r="L808" s="2">
        <v>-2.4540063349131204E-05</v>
      </c>
      <c r="Q808">
        <v>-0.0069827163324048085</v>
      </c>
      <c r="R808">
        <f t="shared" si="20"/>
        <v>-0.07000000000000028</v>
      </c>
      <c r="S808">
        <v>-0.0008931726984443488</v>
      </c>
    </row>
    <row r="809" spans="1:19" ht="12.75">
      <c r="A809" s="1">
        <f>DATE(1998,2,1)</f>
        <v>35827</v>
      </c>
      <c r="B809">
        <v>1998</v>
      </c>
      <c r="C809">
        <v>2</v>
      </c>
      <c r="D809">
        <v>5.11</v>
      </c>
      <c r="H809">
        <v>-0.117468936263202</v>
      </c>
      <c r="J809" s="2">
        <v>-0.001957629690927916</v>
      </c>
      <c r="K809">
        <f t="shared" si="19"/>
        <v>0.020000000000000462</v>
      </c>
      <c r="L809" s="2">
        <v>-2.383615777132653E-05</v>
      </c>
      <c r="Q809">
        <v>-0.006604166887179996</v>
      </c>
      <c r="R809">
        <f t="shared" si="20"/>
        <v>0.020000000000000462</v>
      </c>
      <c r="S809">
        <v>0.0005338357887851691</v>
      </c>
    </row>
    <row r="810" spans="1:19" ht="12.75">
      <c r="A810" s="1">
        <f>DATE(1998,3,1)</f>
        <v>35855</v>
      </c>
      <c r="B810">
        <v>1998</v>
      </c>
      <c r="C810">
        <v>3</v>
      </c>
      <c r="D810">
        <v>5.03</v>
      </c>
      <c r="H810">
        <v>-0.11155154681828933</v>
      </c>
      <c r="J810" s="2">
        <v>-0.001801755979826179</v>
      </c>
      <c r="K810">
        <f t="shared" si="19"/>
        <v>-0.08000000000000007</v>
      </c>
      <c r="L810" s="2">
        <v>-2.902768304037435E-05</v>
      </c>
      <c r="Q810">
        <v>-0.006284458558253326</v>
      </c>
      <c r="R810">
        <f t="shared" si="20"/>
        <v>-0.08000000000000007</v>
      </c>
      <c r="S810">
        <v>0.00035102671412281985</v>
      </c>
    </row>
    <row r="811" spans="1:19" ht="12.75">
      <c r="A811" s="1">
        <f>DATE(1998,4,1)</f>
        <v>35886</v>
      </c>
      <c r="B811">
        <v>1998</v>
      </c>
      <c r="C811">
        <v>4</v>
      </c>
      <c r="D811">
        <v>5</v>
      </c>
      <c r="H811">
        <v>-0.1058090803288395</v>
      </c>
      <c r="J811" s="2">
        <v>-0.001667565459894899</v>
      </c>
      <c r="K811">
        <f t="shared" si="19"/>
        <v>-0.03000000000000025</v>
      </c>
      <c r="L811" s="2">
        <v>-3.127149288599594E-05</v>
      </c>
      <c r="Q811">
        <v>-0.005976771089234348</v>
      </c>
      <c r="R811">
        <f t="shared" si="20"/>
        <v>-0.03000000000000025</v>
      </c>
      <c r="S811">
        <v>-0.0004173575313382589</v>
      </c>
    </row>
    <row r="812" spans="1:19" ht="12.75">
      <c r="A812" s="1">
        <f>DATE(1998,5,1)</f>
        <v>35916</v>
      </c>
      <c r="B812">
        <v>1998</v>
      </c>
      <c r="C812">
        <v>5</v>
      </c>
      <c r="D812">
        <v>5.03</v>
      </c>
      <c r="H812">
        <v>-0.10043259768904388</v>
      </c>
      <c r="J812" s="2">
        <v>-0.0015116917487931615</v>
      </c>
      <c r="K812">
        <f t="shared" si="19"/>
        <v>0.03000000000000025</v>
      </c>
      <c r="L812" s="2">
        <v>-2.997804422350605E-05</v>
      </c>
      <c r="Q812">
        <v>-0.005657148109717803</v>
      </c>
      <c r="R812">
        <f t="shared" si="20"/>
        <v>0.03000000000000025</v>
      </c>
      <c r="S812">
        <v>0.00032084378173975373</v>
      </c>
    </row>
    <row r="813" spans="1:19" ht="12.75">
      <c r="A813" s="1">
        <f>DATE(1998,6,1)</f>
        <v>35947</v>
      </c>
      <c r="B813">
        <v>1998</v>
      </c>
      <c r="C813">
        <v>6</v>
      </c>
      <c r="D813">
        <v>4.99</v>
      </c>
      <c r="H813">
        <v>-0.09521068782236042</v>
      </c>
      <c r="J813" s="2">
        <v>-0.0013847289592520335</v>
      </c>
      <c r="K813">
        <f t="shared" si="19"/>
        <v>-0.040000000000000036</v>
      </c>
      <c r="L813" s="2">
        <v>-3.281139715381287E-05</v>
      </c>
      <c r="Q813">
        <v>-0.005362358157556099</v>
      </c>
      <c r="R813">
        <f t="shared" si="20"/>
        <v>-0.040000000000000036</v>
      </c>
      <c r="S813">
        <v>-8.844320662389035E-05</v>
      </c>
    </row>
    <row r="814" spans="1:19" ht="12.75">
      <c r="A814" s="1">
        <f>DATE(1998,7,1)</f>
        <v>35977</v>
      </c>
      <c r="B814">
        <v>1998</v>
      </c>
      <c r="C814">
        <v>7</v>
      </c>
      <c r="D814">
        <v>4.96</v>
      </c>
      <c r="H814">
        <v>-0.09092101800803963</v>
      </c>
      <c r="J814" s="2">
        <v>-0.0012794493608813628</v>
      </c>
      <c r="K814">
        <f aca="true" t="shared" si="21" ref="K814:K837">D814-D813</f>
        <v>-0.03000000000000025</v>
      </c>
      <c r="L814" s="2">
        <v>-3.505520699943446E-05</v>
      </c>
      <c r="Q814">
        <v>-0.00508210687290078</v>
      </c>
      <c r="R814">
        <f t="shared" si="20"/>
        <v>-0.03000000000000025</v>
      </c>
      <c r="S814">
        <v>-0.0002917148891519401</v>
      </c>
    </row>
    <row r="815" spans="1:19" ht="12.75">
      <c r="A815" s="1">
        <f>DATE(1998,8,1)</f>
        <v>36008</v>
      </c>
      <c r="B815">
        <v>1998</v>
      </c>
      <c r="C815">
        <v>8</v>
      </c>
      <c r="D815">
        <v>4.94</v>
      </c>
      <c r="H815">
        <v>-0.08779409687710321</v>
      </c>
      <c r="J815" s="2">
        <v>-0.0011886252232909962</v>
      </c>
      <c r="K815">
        <f t="shared" si="21"/>
        <v>-0.019999999999999574</v>
      </c>
      <c r="L815" s="2">
        <v>-3.670947376037079E-05</v>
      </c>
      <c r="Q815">
        <v>-0.004822226465443735</v>
      </c>
      <c r="R815">
        <f t="shared" si="20"/>
        <v>-0.019999999999999574</v>
      </c>
      <c r="S815">
        <v>0.00042440253763095017</v>
      </c>
    </row>
    <row r="816" spans="1:19" ht="12.75">
      <c r="A816" s="1">
        <f>DATE(1998,9,1)</f>
        <v>36039</v>
      </c>
      <c r="B816">
        <v>1998</v>
      </c>
      <c r="C816">
        <v>9</v>
      </c>
      <c r="D816">
        <v>4.74</v>
      </c>
      <c r="H816">
        <v>-0.08523197598862432</v>
      </c>
      <c r="J816" s="2">
        <v>-0.0012423556935036763</v>
      </c>
      <c r="K816">
        <f t="shared" si="21"/>
        <v>-0.20000000000000018</v>
      </c>
      <c r="L816" s="2">
        <v>-4.897551604564152E-05</v>
      </c>
      <c r="Q816">
        <v>-0.004691224106192788</v>
      </c>
      <c r="R816">
        <f t="shared" si="20"/>
        <v>-0.20000000000000018</v>
      </c>
      <c r="S816">
        <v>-9.500714410437061E-05</v>
      </c>
    </row>
    <row r="817" spans="1:19" ht="12.75">
      <c r="A817" s="1">
        <f>DATE(1998,10,1)</f>
        <v>36069</v>
      </c>
      <c r="B817">
        <v>1998</v>
      </c>
      <c r="C817">
        <v>10</v>
      </c>
      <c r="D817">
        <v>4.08</v>
      </c>
      <c r="H817">
        <v>-0.07652011684932185</v>
      </c>
      <c r="J817" s="2">
        <v>-0.0017731163694664084</v>
      </c>
      <c r="K817">
        <f t="shared" si="21"/>
        <v>-0.6600000000000001</v>
      </c>
      <c r="L817" s="2">
        <v>-8.836054022643345E-05</v>
      </c>
      <c r="Q817">
        <v>-0.0049875984639384035</v>
      </c>
      <c r="R817">
        <f t="shared" si="20"/>
        <v>-0.6600000000000001</v>
      </c>
      <c r="S817">
        <v>0.00020723455553065063</v>
      </c>
    </row>
    <row r="818" spans="1:19" ht="12.75">
      <c r="A818" s="1">
        <f>DATE(1998,11,1)</f>
        <v>36100</v>
      </c>
      <c r="B818">
        <v>1998</v>
      </c>
      <c r="C818">
        <v>11</v>
      </c>
      <c r="D818">
        <v>4.44</v>
      </c>
      <c r="H818">
        <v>-0.0708451278418072</v>
      </c>
      <c r="J818" s="2">
        <v>-0.002043678751383657</v>
      </c>
      <c r="K818">
        <f t="shared" si="21"/>
        <v>0.3600000000000003</v>
      </c>
      <c r="L818" s="2">
        <v>-6.76121697693305E-05</v>
      </c>
      <c r="Q818">
        <v>-0.005058896611403141</v>
      </c>
      <c r="R818">
        <f t="shared" si="20"/>
        <v>0.3600000000000003</v>
      </c>
      <c r="S818">
        <v>0.00015403329188097594</v>
      </c>
    </row>
    <row r="819" spans="1:19" ht="12.75">
      <c r="A819" s="1">
        <f>DATE(1998,12,1)</f>
        <v>36130</v>
      </c>
      <c r="B819">
        <v>1998</v>
      </c>
      <c r="C819">
        <v>12</v>
      </c>
      <c r="D819">
        <v>4.42</v>
      </c>
      <c r="H819">
        <v>-0.06533136634986154</v>
      </c>
      <c r="J819" s="2">
        <v>-0.0023286965940812108</v>
      </c>
      <c r="K819">
        <f t="shared" si="21"/>
        <v>-0.020000000000000462</v>
      </c>
      <c r="L819" s="2">
        <v>-6.926643653026686E-05</v>
      </c>
      <c r="Q819">
        <v>-0.005145207317103273</v>
      </c>
      <c r="R819">
        <f t="shared" si="20"/>
        <v>-0.020000000000000462</v>
      </c>
      <c r="S819">
        <v>2.664750224922346E-05</v>
      </c>
    </row>
    <row r="820" spans="1:19" ht="12.75">
      <c r="A820" s="1">
        <f>DATE(1999,1,1)</f>
        <v>36161</v>
      </c>
      <c r="B820">
        <v>1999</v>
      </c>
      <c r="C820">
        <v>1</v>
      </c>
      <c r="D820">
        <v>4.34</v>
      </c>
      <c r="H820">
        <v>-0.059101795179546265</v>
      </c>
      <c r="J820" s="2">
        <v>-0.0026715362798999825</v>
      </c>
      <c r="K820">
        <f t="shared" si="21"/>
        <v>-0.08000000000000007</v>
      </c>
      <c r="L820" s="2">
        <v>-7.445796179931468E-05</v>
      </c>
      <c r="Q820">
        <v>-0.005287073186811727</v>
      </c>
      <c r="R820">
        <f t="shared" si="20"/>
        <v>-0.08000000000000007</v>
      </c>
      <c r="S820">
        <v>0.00013699513875911837</v>
      </c>
    </row>
    <row r="821" spans="1:19" ht="12.75">
      <c r="A821" s="1">
        <f>DATE(1999,2,1)</f>
        <v>36192</v>
      </c>
      <c r="B821">
        <v>1999</v>
      </c>
      <c r="C821">
        <v>2</v>
      </c>
      <c r="D821">
        <v>4.45</v>
      </c>
      <c r="H821">
        <v>-0.05393795051383168</v>
      </c>
      <c r="J821" s="2">
        <v>-0.0029348709314270787</v>
      </c>
      <c r="K821">
        <f t="shared" si="21"/>
        <v>0.11000000000000032</v>
      </c>
      <c r="L821" s="2">
        <v>-6.844816845934284E-05</v>
      </c>
      <c r="Q821">
        <v>-0.005364573391412229</v>
      </c>
      <c r="R821">
        <f t="shared" si="20"/>
        <v>0.11000000000000032</v>
      </c>
      <c r="S821">
        <v>0.0003022013338042481</v>
      </c>
    </row>
    <row r="822" spans="1:19" ht="12.75">
      <c r="A822" s="1">
        <f>DATE(1999,3,1)</f>
        <v>36220</v>
      </c>
      <c r="B822">
        <v>1999</v>
      </c>
      <c r="C822">
        <v>3</v>
      </c>
      <c r="D822">
        <v>4.48</v>
      </c>
      <c r="H822">
        <v>-0.04980597060821177</v>
      </c>
      <c r="J822" s="2">
        <v>-0.0031765223917837185</v>
      </c>
      <c r="K822">
        <f t="shared" si="21"/>
        <v>0.03000000000000025</v>
      </c>
      <c r="L822" s="2">
        <v>-6.715471979685293E-05</v>
      </c>
      <c r="Q822">
        <v>-0.005425145145022841</v>
      </c>
      <c r="R822">
        <f t="shared" si="20"/>
        <v>0.03000000000000025</v>
      </c>
      <c r="S822">
        <v>2.7878843955675967E-05</v>
      </c>
    </row>
    <row r="823" spans="1:19" ht="12.75">
      <c r="A823" s="1">
        <f>DATE(1999,4,1)</f>
        <v>36251</v>
      </c>
      <c r="B823">
        <v>1999</v>
      </c>
      <c r="C823">
        <v>4</v>
      </c>
      <c r="D823">
        <v>4.28</v>
      </c>
      <c r="H823">
        <v>-0.04334191013624064</v>
      </c>
      <c r="J823" s="2">
        <v>-0.0035627284599434035</v>
      </c>
      <c r="K823">
        <f t="shared" si="21"/>
        <v>-0.20000000000000018</v>
      </c>
      <c r="L823" s="2">
        <v>-7.942076208212367E-05</v>
      </c>
      <c r="Q823">
        <v>-0.005602657421313833</v>
      </c>
      <c r="R823">
        <f t="shared" si="20"/>
        <v>-0.20000000000000018</v>
      </c>
      <c r="S823">
        <v>-0.00010873560338579185</v>
      </c>
    </row>
    <row r="824" spans="1:19" ht="12.75">
      <c r="A824" s="1">
        <f>DATE(1999,5,1)</f>
        <v>36281</v>
      </c>
      <c r="B824">
        <v>1999</v>
      </c>
      <c r="C824">
        <v>5</v>
      </c>
      <c r="D824">
        <v>4.51</v>
      </c>
      <c r="H824">
        <v>-0.03815977936285852</v>
      </c>
      <c r="J824" s="2">
        <v>-0.0037826967291295865</v>
      </c>
      <c r="K824">
        <f t="shared" si="21"/>
        <v>0.22999999999999954</v>
      </c>
      <c r="L824" s="2">
        <v>-6.633645172592896E-05</v>
      </c>
      <c r="Q824">
        <v>-0.005627826666551064</v>
      </c>
      <c r="R824">
        <f t="shared" si="20"/>
        <v>0.22999999999999954</v>
      </c>
      <c r="S824">
        <v>0.00044323225960154735</v>
      </c>
    </row>
    <row r="825" spans="1:19" ht="12.75">
      <c r="A825" s="1">
        <f>DATE(1999,6,1)</f>
        <v>36312</v>
      </c>
      <c r="B825">
        <v>1999</v>
      </c>
      <c r="C825">
        <v>6</v>
      </c>
      <c r="D825">
        <v>4.59</v>
      </c>
      <c r="H825">
        <v>-0.03376445892256061</v>
      </c>
      <c r="J825" s="2">
        <v>-0.003944843155194552</v>
      </c>
      <c r="K825">
        <f t="shared" si="21"/>
        <v>0.08000000000000007</v>
      </c>
      <c r="L825" s="2">
        <v>-6.209528764001285E-05</v>
      </c>
      <c r="Q825">
        <v>-0.0056081984244473505</v>
      </c>
      <c r="R825">
        <f t="shared" si="20"/>
        <v>0.08000000000000007</v>
      </c>
      <c r="S825">
        <v>-0.00011050149852207813</v>
      </c>
    </row>
    <row r="826" spans="1:19" ht="12.75">
      <c r="A826" s="1">
        <f>DATE(1999,7,1)</f>
        <v>36342</v>
      </c>
      <c r="B826">
        <v>1999</v>
      </c>
      <c r="C826">
        <v>7</v>
      </c>
      <c r="D826">
        <v>4.6</v>
      </c>
      <c r="H826">
        <v>-0.028873168760663103</v>
      </c>
      <c r="J826" s="2">
        <v>-0.004099761850869364</v>
      </c>
      <c r="K826">
        <f t="shared" si="21"/>
        <v>0.009999999999999787</v>
      </c>
      <c r="L826" s="2">
        <v>-6.198092514689347E-05</v>
      </c>
      <c r="Q826">
        <v>-0.005578158372290084</v>
      </c>
      <c r="R826">
        <f t="shared" si="20"/>
        <v>0.009999999999999787</v>
      </c>
      <c r="S826">
        <v>7.838111153510093E-05</v>
      </c>
    </row>
    <row r="827" spans="1:19" ht="12.75">
      <c r="A827" s="1">
        <f>DATE(1999,8,1)</f>
        <v>36373</v>
      </c>
      <c r="B827">
        <v>1999</v>
      </c>
      <c r="C827">
        <v>8</v>
      </c>
      <c r="D827">
        <v>4.76</v>
      </c>
      <c r="H827">
        <v>-0.02537948684955928</v>
      </c>
      <c r="J827" s="2">
        <v>-0.004139036860301739</v>
      </c>
      <c r="K827">
        <f t="shared" si="21"/>
        <v>0.16000000000000014</v>
      </c>
      <c r="L827" s="2">
        <v>-5.302341638349541E-05</v>
      </c>
      <c r="Q827">
        <v>-0.0054657825142848905</v>
      </c>
      <c r="R827">
        <f t="shared" si="20"/>
        <v>0.16000000000000014</v>
      </c>
      <c r="S827">
        <v>0.00014342433503590257</v>
      </c>
    </row>
    <row r="828" spans="1:19" ht="12.75">
      <c r="A828" s="1">
        <f>DATE(1999,9,1)</f>
        <v>36404</v>
      </c>
      <c r="B828">
        <v>1999</v>
      </c>
      <c r="C828">
        <v>9</v>
      </c>
      <c r="D828">
        <v>4.73</v>
      </c>
      <c r="H828">
        <v>-0.02076790422378013</v>
      </c>
      <c r="J828" s="2">
        <v>-0.004199995060904571</v>
      </c>
      <c r="K828">
        <f t="shared" si="21"/>
        <v>-0.02999999999999936</v>
      </c>
      <c r="L828" s="2">
        <v>-5.526722622911696E-05</v>
      </c>
      <c r="Q828">
        <v>-0.005359426243638695</v>
      </c>
      <c r="R828">
        <f t="shared" si="20"/>
        <v>-0.02999999999999936</v>
      </c>
      <c r="S828">
        <v>-0.000205466694811594</v>
      </c>
    </row>
    <row r="829" spans="1:19" ht="12.75">
      <c r="A829" s="1">
        <f>DATE(1999,10,1)</f>
        <v>36434</v>
      </c>
      <c r="B829">
        <v>1999</v>
      </c>
      <c r="C829">
        <v>10</v>
      </c>
      <c r="D829">
        <v>4.88</v>
      </c>
      <c r="H829">
        <v>-0.016514234281799198</v>
      </c>
      <c r="J829" s="2">
        <v>-0.00415253730565512</v>
      </c>
      <c r="K829">
        <f t="shared" si="21"/>
        <v>0.14999999999999947</v>
      </c>
      <c r="L829" s="2">
        <v>-4.689926055040418E-05</v>
      </c>
      <c r="Q829">
        <v>-0.005124074913498328</v>
      </c>
      <c r="R829">
        <f t="shared" si="20"/>
        <v>0.14999999999999947</v>
      </c>
      <c r="S829">
        <v>-5.806683955305722E-05</v>
      </c>
    </row>
    <row r="830" spans="1:19" ht="12.75">
      <c r="A830" s="1">
        <f>DATE(1999,11,1)</f>
        <v>36465</v>
      </c>
      <c r="B830">
        <v>1999</v>
      </c>
      <c r="C830">
        <v>11</v>
      </c>
      <c r="D830">
        <v>5.07</v>
      </c>
      <c r="H830">
        <v>-0.012863707169967589</v>
      </c>
      <c r="J830" s="2">
        <v>-0.003967752672992773</v>
      </c>
      <c r="K830">
        <f t="shared" si="21"/>
        <v>0.1900000000000004</v>
      </c>
      <c r="L830" s="2">
        <v>-3.6173122532950374E-05</v>
      </c>
      <c r="Q830">
        <v>-0.004770528436319206</v>
      </c>
      <c r="R830">
        <f t="shared" si="20"/>
        <v>0.1900000000000004</v>
      </c>
      <c r="S830">
        <v>0.00012074721047948103</v>
      </c>
    </row>
    <row r="831" spans="1:19" ht="12.75">
      <c r="A831" s="1">
        <f>DATE(1999,12,1)</f>
        <v>36495</v>
      </c>
      <c r="B831">
        <v>1999</v>
      </c>
      <c r="C831">
        <v>12</v>
      </c>
      <c r="D831">
        <v>5.23</v>
      </c>
      <c r="H831">
        <v>-0.00985957620397826</v>
      </c>
      <c r="J831" s="2">
        <v>-0.00366732435408799</v>
      </c>
      <c r="K831">
        <f t="shared" si="21"/>
        <v>0.16000000000000014</v>
      </c>
      <c r="L831" s="2">
        <v>-2.7215613769552316E-05</v>
      </c>
      <c r="Q831">
        <v>-0.004326055130654608</v>
      </c>
      <c r="R831">
        <f aca="true" t="shared" si="22" ref="R831:R837">D831-D830</f>
        <v>0.16000000000000014</v>
      </c>
      <c r="S831">
        <v>6.976463263262432E-06</v>
      </c>
    </row>
    <row r="832" spans="1:19" ht="12.75">
      <c r="A832" s="1">
        <f>DATE(2000,1,1)</f>
        <v>36526</v>
      </c>
      <c r="B832">
        <v>2000</v>
      </c>
      <c r="C832">
        <v>1</v>
      </c>
      <c r="D832">
        <v>5.34</v>
      </c>
      <c r="H832">
        <v>-0.0067202919622912595</v>
      </c>
      <c r="J832" s="2">
        <v>-0.003287391000891532</v>
      </c>
      <c r="K832">
        <f t="shared" si="21"/>
        <v>0.10999999999999943</v>
      </c>
      <c r="L832" s="2">
        <v>-2.120582042958052E-05</v>
      </c>
      <c r="Q832">
        <v>-0.0038117680225357342</v>
      </c>
      <c r="R832">
        <f t="shared" si="22"/>
        <v>0.10999999999999943</v>
      </c>
      <c r="S832">
        <v>8.445496419200738E-05</v>
      </c>
    </row>
    <row r="833" spans="1:19" ht="12.75">
      <c r="A833" s="1">
        <f>DATE(2000,2,1)</f>
        <v>36557</v>
      </c>
      <c r="B833">
        <v>2000</v>
      </c>
      <c r="C833">
        <v>2</v>
      </c>
      <c r="D833">
        <v>5.57</v>
      </c>
      <c r="H833">
        <v>-0.004655272302451744</v>
      </c>
      <c r="J833" s="2">
        <v>-0.00274121984872157</v>
      </c>
      <c r="K833">
        <f t="shared" si="21"/>
        <v>0.23000000000000043</v>
      </c>
      <c r="L833" s="2">
        <v>-8.121510073385736E-06</v>
      </c>
      <c r="Q833">
        <v>-0.00314961180447618</v>
      </c>
      <c r="R833">
        <f t="shared" si="22"/>
        <v>0.23000000000000043</v>
      </c>
      <c r="S833">
        <v>2.275610695025273E-05</v>
      </c>
    </row>
    <row r="834" spans="1:19" ht="12.75">
      <c r="A834" s="1">
        <f>DATE(2000,3,1)</f>
        <v>36586</v>
      </c>
      <c r="B834">
        <v>2000</v>
      </c>
      <c r="C834">
        <v>3</v>
      </c>
      <c r="D834">
        <v>5.72</v>
      </c>
      <c r="H834">
        <v>-0.003931155634619638</v>
      </c>
      <c r="J834" s="2">
        <v>-0.0020866327406993254</v>
      </c>
      <c r="K834">
        <f t="shared" si="21"/>
        <v>0.14999999999999947</v>
      </c>
      <c r="L834" s="2">
        <v>2.46455605327037E-07</v>
      </c>
      <c r="Q834">
        <v>-0.0023898073023514398</v>
      </c>
      <c r="R834">
        <f t="shared" si="22"/>
        <v>0.14999999999999947</v>
      </c>
      <c r="S834">
        <v>-1.1466239353364648E-05</v>
      </c>
    </row>
    <row r="835" spans="1:18" ht="12.75">
      <c r="A835" s="1">
        <f>DATE(2000,4,1)</f>
        <v>36617</v>
      </c>
      <c r="B835">
        <v>2000</v>
      </c>
      <c r="C835">
        <v>4</v>
      </c>
      <c r="D835">
        <v>5.67</v>
      </c>
      <c r="K835">
        <f t="shared" si="21"/>
        <v>-0.04999999999999982</v>
      </c>
      <c r="R835">
        <f t="shared" si="22"/>
        <v>-0.04999999999999982</v>
      </c>
    </row>
    <row r="836" spans="1:18" ht="12.75">
      <c r="A836" s="1">
        <f>DATE(2000,5,1)</f>
        <v>36647</v>
      </c>
      <c r="B836">
        <v>2000</v>
      </c>
      <c r="C836">
        <v>5</v>
      </c>
      <c r="D836">
        <v>5.92</v>
      </c>
      <c r="K836">
        <f t="shared" si="21"/>
        <v>0.25</v>
      </c>
      <c r="R836">
        <f t="shared" si="22"/>
        <v>0.25</v>
      </c>
    </row>
    <row r="837" spans="1:18" ht="12.75">
      <c r="A837" s="1">
        <f>DATE(2000,6,1)</f>
        <v>36678</v>
      </c>
      <c r="B837">
        <v>2000</v>
      </c>
      <c r="C837">
        <v>6</v>
      </c>
      <c r="D837">
        <v>5.74</v>
      </c>
      <c r="K837">
        <f t="shared" si="21"/>
        <v>-0.17999999999999972</v>
      </c>
      <c r="R837">
        <f t="shared" si="22"/>
        <v>-0.17999999999999972</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R715"/>
  <sheetViews>
    <sheetView zoomScalePageLayoutView="0" workbookViewId="0" topLeftCell="E1">
      <selection activeCell="U14" sqref="U14"/>
    </sheetView>
  </sheetViews>
  <sheetFormatPr defaultColWidth="9.140625" defaultRowHeight="12.75"/>
  <cols>
    <col min="9" max="12" width="9.140625" style="2" customWidth="1"/>
    <col min="14" max="14" width="9.140625" style="2" customWidth="1"/>
  </cols>
  <sheetData>
    <row r="1" ht="12.75">
      <c r="A1" t="s">
        <v>0</v>
      </c>
    </row>
    <row r="2" ht="12.75"/>
    <row r="3" spans="4:18" ht="12.75">
      <c r="D3" t="s">
        <v>1</v>
      </c>
      <c r="G3" t="s">
        <v>9</v>
      </c>
      <c r="H3" t="s">
        <v>9</v>
      </c>
      <c r="I3" s="2" t="s">
        <v>10</v>
      </c>
      <c r="J3" s="2" t="s">
        <v>11</v>
      </c>
      <c r="N3" s="2" t="s">
        <v>2</v>
      </c>
      <c r="P3" s="2" t="s">
        <v>13</v>
      </c>
      <c r="R3" t="s">
        <v>15</v>
      </c>
    </row>
    <row r="4" spans="1:18" ht="12.75">
      <c r="A4" s="1">
        <f>DATE(1947,1,1)</f>
        <v>17168</v>
      </c>
      <c r="B4">
        <v>1947</v>
      </c>
      <c r="C4">
        <v>1</v>
      </c>
      <c r="D4">
        <v>0.38</v>
      </c>
      <c r="F4" s="3">
        <f>DATE(1947,1,1)</f>
        <v>17168</v>
      </c>
      <c r="G4">
        <v>21.5</v>
      </c>
      <c r="H4">
        <v>21.48</v>
      </c>
      <c r="N4" s="2" t="s">
        <v>12</v>
      </c>
      <c r="P4" t="s">
        <v>14</v>
      </c>
      <c r="R4" t="s">
        <v>16</v>
      </c>
    </row>
    <row r="5" spans="1:9" ht="12.75">
      <c r="A5" s="1">
        <f>DATE(1947,2,1)</f>
        <v>17199</v>
      </c>
      <c r="B5">
        <v>1947</v>
      </c>
      <c r="C5">
        <v>2</v>
      </c>
      <c r="D5">
        <v>0.38</v>
      </c>
      <c r="F5" s="3">
        <f>DATE(1947,2,1)</f>
        <v>17199</v>
      </c>
      <c r="G5">
        <v>21.5</v>
      </c>
      <c r="H5">
        <v>21.62</v>
      </c>
      <c r="I5" s="2">
        <f>H5/H4</f>
        <v>1.006517690875233</v>
      </c>
    </row>
    <row r="6" spans="1:14" ht="12.75">
      <c r="A6" s="1">
        <f>DATE(1947,3,1)</f>
        <v>17227</v>
      </c>
      <c r="B6">
        <v>1947</v>
      </c>
      <c r="C6">
        <v>3</v>
      </c>
      <c r="D6">
        <v>0.38</v>
      </c>
      <c r="F6" s="3">
        <f>DATE(1947,3,1)</f>
        <v>17227</v>
      </c>
      <c r="G6">
        <v>21.9</v>
      </c>
      <c r="H6">
        <v>22</v>
      </c>
      <c r="I6" s="2">
        <f aca="true" t="shared" si="0" ref="I6:I69">H6/H5</f>
        <v>1.0175763182238668</v>
      </c>
      <c r="J6" s="2">
        <f>((1+D6/100)/(I5^12)-1)*100</f>
        <v>-7.148218601502776</v>
      </c>
      <c r="L6"/>
      <c r="N6" s="2">
        <v>0.5149035193120165</v>
      </c>
    </row>
    <row r="7" spans="1:18" ht="12.75">
      <c r="A7" s="1">
        <f>DATE(1947,4,1)</f>
        <v>17258</v>
      </c>
      <c r="B7">
        <v>1947</v>
      </c>
      <c r="C7">
        <v>4</v>
      </c>
      <c r="D7">
        <v>0.38</v>
      </c>
      <c r="F7" s="3">
        <f>DATE(1947,4,1)</f>
        <v>17258</v>
      </c>
      <c r="G7">
        <v>21.9</v>
      </c>
      <c r="H7">
        <v>22</v>
      </c>
      <c r="I7" s="2">
        <f t="shared" si="0"/>
        <v>1</v>
      </c>
      <c r="J7" s="2">
        <f aca="true" t="shared" si="1" ref="J7:J70">((1+D7/100)/(I6^12)-1)*100</f>
        <v>-18.55896263856398</v>
      </c>
      <c r="L7"/>
      <c r="N7" s="2">
        <v>0.3917581552390149</v>
      </c>
      <c r="P7" s="2">
        <f>J7-J6</f>
        <v>-11.410744037061203</v>
      </c>
      <c r="R7">
        <v>-0.38778354040238855</v>
      </c>
    </row>
    <row r="8" spans="1:18" ht="12.75">
      <c r="A8" s="1">
        <f>DATE(1947,5,1)</f>
        <v>17288</v>
      </c>
      <c r="B8">
        <v>1947</v>
      </c>
      <c r="C8">
        <v>5</v>
      </c>
      <c r="D8">
        <v>0.38</v>
      </c>
      <c r="F8" s="3">
        <f>DATE(1947,5,1)</f>
        <v>17288</v>
      </c>
      <c r="G8">
        <v>21.9</v>
      </c>
      <c r="H8">
        <v>21.95</v>
      </c>
      <c r="I8" s="2">
        <f t="shared" si="0"/>
        <v>0.9977272727272727</v>
      </c>
      <c r="J8" s="2">
        <f t="shared" si="1"/>
        <v>0.38000000000000256</v>
      </c>
      <c r="N8" s="2">
        <v>0.37222292657142897</v>
      </c>
      <c r="P8" s="2">
        <f aca="true" t="shared" si="2" ref="P8:P71">J8-J7</f>
        <v>18.938962638563982</v>
      </c>
      <c r="R8">
        <v>-0.0876650788064596</v>
      </c>
    </row>
    <row r="9" spans="1:18" ht="12.75">
      <c r="A9" s="1">
        <f>DATE(1947,6,1)</f>
        <v>17319</v>
      </c>
      <c r="B9">
        <v>1947</v>
      </c>
      <c r="C9">
        <v>6</v>
      </c>
      <c r="D9">
        <v>0.38</v>
      </c>
      <c r="F9" s="3">
        <f>DATE(1947,6,1)</f>
        <v>17319</v>
      </c>
      <c r="G9">
        <v>22</v>
      </c>
      <c r="H9">
        <v>22.08</v>
      </c>
      <c r="I9" s="2">
        <f t="shared" si="0"/>
        <v>1.0059225512528474</v>
      </c>
      <c r="J9" s="2">
        <f t="shared" si="1"/>
        <v>3.1585113355275807</v>
      </c>
      <c r="N9" s="2">
        <v>0.3209884162174127</v>
      </c>
      <c r="P9" s="2">
        <f t="shared" si="2"/>
        <v>2.778511335527578</v>
      </c>
      <c r="R9">
        <v>0.03493233884312249</v>
      </c>
    </row>
    <row r="10" spans="1:18" ht="12.75">
      <c r="A10" s="1">
        <f>DATE(1947,7,1)</f>
        <v>17349</v>
      </c>
      <c r="B10">
        <v>1947</v>
      </c>
      <c r="C10">
        <v>7</v>
      </c>
      <c r="D10">
        <v>0.64</v>
      </c>
      <c r="F10" s="3">
        <f>DATE(1947,7,1)</f>
        <v>17349</v>
      </c>
      <c r="G10">
        <v>22.2</v>
      </c>
      <c r="H10">
        <v>22.23</v>
      </c>
      <c r="I10" s="2">
        <f t="shared" si="0"/>
        <v>1.0067934782608696</v>
      </c>
      <c r="J10" s="2">
        <f t="shared" si="1"/>
        <v>-6.244642461074468</v>
      </c>
      <c r="N10" s="2">
        <v>0.3341892486739781</v>
      </c>
      <c r="P10" s="2">
        <f t="shared" si="2"/>
        <v>-9.403153796602048</v>
      </c>
      <c r="R10">
        <v>-0.07612450883027545</v>
      </c>
    </row>
    <row r="11" spans="1:18" ht="12.75">
      <c r="A11" s="1">
        <f>DATE(1947,8,1)</f>
        <v>17380</v>
      </c>
      <c r="B11">
        <v>1947</v>
      </c>
      <c r="C11">
        <v>8</v>
      </c>
      <c r="D11">
        <v>0.74</v>
      </c>
      <c r="F11" s="3">
        <f>DATE(1947,8,1)</f>
        <v>17380</v>
      </c>
      <c r="G11">
        <v>22.5</v>
      </c>
      <c r="H11">
        <v>22.4</v>
      </c>
      <c r="I11" s="2">
        <f t="shared" si="0"/>
        <v>1.007647323436797</v>
      </c>
      <c r="J11" s="2">
        <f t="shared" si="1"/>
        <v>-7.121065873494114</v>
      </c>
      <c r="N11" s="2">
        <v>0.31985592927086726</v>
      </c>
      <c r="P11" s="2">
        <f t="shared" si="2"/>
        <v>-0.8764234124196459</v>
      </c>
      <c r="R11">
        <v>0.02763941263053518</v>
      </c>
    </row>
    <row r="12" spans="1:18" ht="12.75">
      <c r="A12" s="1">
        <f>DATE(1947,9,1)</f>
        <v>17411</v>
      </c>
      <c r="B12">
        <v>1947</v>
      </c>
      <c r="C12">
        <v>9</v>
      </c>
      <c r="D12">
        <v>0.79</v>
      </c>
      <c r="F12" s="3">
        <f>DATE(1947,9,1)</f>
        <v>17411</v>
      </c>
      <c r="G12">
        <v>23</v>
      </c>
      <c r="H12">
        <v>22.84</v>
      </c>
      <c r="I12" s="2">
        <f t="shared" si="0"/>
        <v>1.0196428571428573</v>
      </c>
      <c r="J12" s="2">
        <f t="shared" si="1"/>
        <v>-8.015473402309548</v>
      </c>
      <c r="N12" s="2">
        <v>0.31630628208469447</v>
      </c>
      <c r="P12" s="2">
        <f t="shared" si="2"/>
        <v>-0.8944075288154334</v>
      </c>
      <c r="R12">
        <v>-0.012241484452555833</v>
      </c>
    </row>
    <row r="13" spans="1:18" ht="12.75">
      <c r="A13" s="1">
        <f>DATE(1947,10,1)</f>
        <v>17441</v>
      </c>
      <c r="B13">
        <v>1947</v>
      </c>
      <c r="C13">
        <v>10</v>
      </c>
      <c r="D13">
        <v>0.84</v>
      </c>
      <c r="F13" s="3">
        <f>DATE(1947,10,1)</f>
        <v>17441</v>
      </c>
      <c r="G13">
        <v>23</v>
      </c>
      <c r="H13">
        <v>22.91</v>
      </c>
      <c r="I13" s="2">
        <f t="shared" si="0"/>
        <v>1.0030647985989491</v>
      </c>
      <c r="J13" s="2">
        <f t="shared" si="1"/>
        <v>-20.15350401764273</v>
      </c>
      <c r="N13" s="2">
        <v>0.31562222654745864</v>
      </c>
      <c r="P13" s="2">
        <f t="shared" si="2"/>
        <v>-12.138030615333184</v>
      </c>
      <c r="R13">
        <v>-0.014299057102795672</v>
      </c>
    </row>
    <row r="14" spans="1:18" ht="12.75">
      <c r="A14" s="1">
        <f>DATE(1947,11,1)</f>
        <v>17472</v>
      </c>
      <c r="B14">
        <v>1947</v>
      </c>
      <c r="C14">
        <v>11</v>
      </c>
      <c r="D14">
        <v>0.92</v>
      </c>
      <c r="F14" s="3">
        <f>DATE(1947,11,1)</f>
        <v>17472</v>
      </c>
      <c r="G14">
        <v>23.1</v>
      </c>
      <c r="H14">
        <v>23.06</v>
      </c>
      <c r="I14" s="2">
        <f t="shared" si="0"/>
        <v>1.0065473592317764</v>
      </c>
      <c r="J14" s="2">
        <f t="shared" si="1"/>
        <v>-2.7186998028776443</v>
      </c>
      <c r="N14" s="2">
        <v>0.3591126453409946</v>
      </c>
      <c r="P14" s="2">
        <f t="shared" si="2"/>
        <v>17.434804214765087</v>
      </c>
      <c r="R14">
        <v>-0.02876439357101917</v>
      </c>
    </row>
    <row r="15" spans="1:18" ht="12.75">
      <c r="A15" s="1">
        <f>DATE(1947,12,1)</f>
        <v>17502</v>
      </c>
      <c r="B15">
        <v>1947</v>
      </c>
      <c r="C15">
        <v>12</v>
      </c>
      <c r="D15">
        <v>0.95</v>
      </c>
      <c r="F15" s="3">
        <f>DATE(1947,12,1)</f>
        <v>17502</v>
      </c>
      <c r="G15">
        <v>23.4</v>
      </c>
      <c r="H15">
        <v>23.41</v>
      </c>
      <c r="I15" s="2">
        <f t="shared" si="0"/>
        <v>1.0151777970511708</v>
      </c>
      <c r="J15" s="2">
        <f t="shared" si="1"/>
        <v>-6.653990229077989</v>
      </c>
      <c r="N15" s="2">
        <v>0.34366262262088587</v>
      </c>
      <c r="P15" s="2">
        <f t="shared" si="2"/>
        <v>-3.9352904262003445</v>
      </c>
      <c r="R15">
        <v>0.05699351640491147</v>
      </c>
    </row>
    <row r="16" spans="1:18" ht="12.75">
      <c r="A16" s="1">
        <f>DATE(1948,1,1)</f>
        <v>17533</v>
      </c>
      <c r="B16">
        <v>1948</v>
      </c>
      <c r="C16">
        <v>1</v>
      </c>
      <c r="D16">
        <v>0.97</v>
      </c>
      <c r="F16" s="3">
        <f>DATE(1948,1,1)</f>
        <v>17533</v>
      </c>
      <c r="G16">
        <v>23.7</v>
      </c>
      <c r="H16">
        <v>23.68</v>
      </c>
      <c r="I16" s="2">
        <f t="shared" si="0"/>
        <v>1.0115335326783426</v>
      </c>
      <c r="J16" s="2">
        <f t="shared" si="1"/>
        <v>-15.727276915132615</v>
      </c>
      <c r="N16" s="2">
        <v>0.2513983956617109</v>
      </c>
      <c r="P16" s="2">
        <f t="shared" si="2"/>
        <v>-9.073286686054626</v>
      </c>
      <c r="R16">
        <v>0.07196377890295651</v>
      </c>
    </row>
    <row r="17" spans="1:18" ht="12.75">
      <c r="A17" s="1">
        <f>DATE(1948,2,1)</f>
        <v>17564</v>
      </c>
      <c r="B17">
        <v>1948</v>
      </c>
      <c r="C17">
        <v>2</v>
      </c>
      <c r="D17">
        <v>0.99</v>
      </c>
      <c r="F17" s="3">
        <f>DATE(1948,2,1)</f>
        <v>17564</v>
      </c>
      <c r="G17">
        <v>23.5</v>
      </c>
      <c r="H17">
        <v>23.67</v>
      </c>
      <c r="I17" s="2">
        <f t="shared" si="0"/>
        <v>0.9995777027027027</v>
      </c>
      <c r="J17" s="2">
        <f t="shared" si="1"/>
        <v>-11.993457361205262</v>
      </c>
      <c r="N17" s="2">
        <v>0.09938118719453197</v>
      </c>
      <c r="P17" s="2">
        <f t="shared" si="2"/>
        <v>3.7338195539273524</v>
      </c>
      <c r="R17">
        <v>0.06411778028175565</v>
      </c>
    </row>
    <row r="18" spans="1:18" ht="12.75">
      <c r="A18" s="1">
        <f>DATE(1948,3,1)</f>
        <v>17593</v>
      </c>
      <c r="B18">
        <v>1948</v>
      </c>
      <c r="C18">
        <v>3</v>
      </c>
      <c r="D18">
        <v>1</v>
      </c>
      <c r="F18" s="3">
        <f>DATE(1948,3,1)</f>
        <v>17593</v>
      </c>
      <c r="G18">
        <v>23.4</v>
      </c>
      <c r="H18">
        <v>23.5</v>
      </c>
      <c r="I18" s="2">
        <f t="shared" si="0"/>
        <v>0.9928179129700041</v>
      </c>
      <c r="J18" s="2">
        <f t="shared" si="1"/>
        <v>1.513232020613553</v>
      </c>
      <c r="N18" s="2">
        <v>0.1348995616428051</v>
      </c>
      <c r="P18" s="2">
        <f t="shared" si="2"/>
        <v>13.506689381818816</v>
      </c>
      <c r="R18">
        <v>-0.18209976877382728</v>
      </c>
    </row>
    <row r="19" spans="1:18" ht="12.75">
      <c r="A19" s="1">
        <f>DATE(1948,4,1)</f>
        <v>17624</v>
      </c>
      <c r="B19">
        <v>1948</v>
      </c>
      <c r="C19">
        <v>4</v>
      </c>
      <c r="D19">
        <v>1</v>
      </c>
      <c r="F19" s="3">
        <f>DATE(1948,4,1)</f>
        <v>17624</v>
      </c>
      <c r="G19">
        <v>23.8</v>
      </c>
      <c r="H19">
        <v>23.82</v>
      </c>
      <c r="I19" s="2">
        <f t="shared" si="0"/>
        <v>1.0136170212765958</v>
      </c>
      <c r="J19" s="2">
        <f t="shared" si="1"/>
        <v>10.125050778018085</v>
      </c>
      <c r="N19" s="2">
        <v>0.12317683892558567</v>
      </c>
      <c r="P19" s="2">
        <f t="shared" si="2"/>
        <v>8.611818757404532</v>
      </c>
      <c r="R19">
        <v>0.05927047881583746</v>
      </c>
    </row>
    <row r="20" spans="1:18" ht="12.75">
      <c r="A20" s="1">
        <f>DATE(1948,5,1)</f>
        <v>17654</v>
      </c>
      <c r="B20">
        <v>1948</v>
      </c>
      <c r="C20">
        <v>5</v>
      </c>
      <c r="D20">
        <v>1</v>
      </c>
      <c r="F20" s="3">
        <f>DATE(1948,5,1)</f>
        <v>17654</v>
      </c>
      <c r="G20">
        <v>23.9</v>
      </c>
      <c r="H20">
        <v>24.01</v>
      </c>
      <c r="I20" s="2">
        <f t="shared" si="0"/>
        <v>1.0079764903442485</v>
      </c>
      <c r="J20" s="2">
        <f t="shared" si="1"/>
        <v>-14.131349966052353</v>
      </c>
      <c r="N20" s="2">
        <v>0.15641967070735008</v>
      </c>
      <c r="P20" s="2">
        <f t="shared" si="2"/>
        <v>-24.25640074407044</v>
      </c>
      <c r="R20">
        <v>-0.07141766021492692</v>
      </c>
    </row>
    <row r="21" spans="1:18" ht="12.75">
      <c r="A21" s="1">
        <f>DATE(1948,6,1)</f>
        <v>17685</v>
      </c>
      <c r="B21">
        <v>1948</v>
      </c>
      <c r="C21">
        <v>6</v>
      </c>
      <c r="D21">
        <v>1</v>
      </c>
      <c r="F21" s="3">
        <f>DATE(1948,6,1)</f>
        <v>17685</v>
      </c>
      <c r="G21">
        <v>24.1</v>
      </c>
      <c r="H21">
        <v>24.15</v>
      </c>
      <c r="I21" s="2">
        <f t="shared" si="0"/>
        <v>1.0058309037900874</v>
      </c>
      <c r="J21" s="2">
        <f t="shared" si="1"/>
        <v>-8.184386839201164</v>
      </c>
      <c r="N21" s="2">
        <v>0.1790851648633521</v>
      </c>
      <c r="P21" s="2">
        <f t="shared" si="2"/>
        <v>5.946963126851189</v>
      </c>
      <c r="R21">
        <v>0.01624126513976015</v>
      </c>
    </row>
    <row r="22" spans="1:18" ht="12.75">
      <c r="A22" s="1">
        <f>DATE(1948,7,1)</f>
        <v>17715</v>
      </c>
      <c r="B22">
        <v>1948</v>
      </c>
      <c r="C22">
        <v>7</v>
      </c>
      <c r="D22">
        <v>1</v>
      </c>
      <c r="F22" s="3">
        <f>DATE(1948,7,1)</f>
        <v>17715</v>
      </c>
      <c r="G22">
        <v>24.4</v>
      </c>
      <c r="H22">
        <v>24.4</v>
      </c>
      <c r="I22" s="2">
        <f t="shared" si="0"/>
        <v>1.010351966873706</v>
      </c>
      <c r="J22" s="2">
        <f t="shared" si="1"/>
        <v>-5.8063397411336375</v>
      </c>
      <c r="N22" s="2">
        <v>0.131292119763952</v>
      </c>
      <c r="P22" s="2">
        <f t="shared" si="2"/>
        <v>2.378047098067526</v>
      </c>
      <c r="R22">
        <v>0.07609164525631154</v>
      </c>
    </row>
    <row r="23" spans="1:18" ht="12.75">
      <c r="A23" s="1">
        <f>DATE(1948,8,1)</f>
        <v>17746</v>
      </c>
      <c r="B23">
        <v>1948</v>
      </c>
      <c r="C23">
        <v>8</v>
      </c>
      <c r="D23">
        <v>1.03</v>
      </c>
      <c r="F23" s="3">
        <f>DATE(1948,8,1)</f>
        <v>17746</v>
      </c>
      <c r="G23">
        <v>24.5</v>
      </c>
      <c r="H23">
        <v>24.43</v>
      </c>
      <c r="I23" s="2">
        <f t="shared" si="0"/>
        <v>1.0012295081967213</v>
      </c>
      <c r="J23" s="2">
        <f t="shared" si="1"/>
        <v>-10.715091482823148</v>
      </c>
      <c r="N23" s="2">
        <v>0.10331556815636385</v>
      </c>
      <c r="P23" s="2">
        <f t="shared" si="2"/>
        <v>-4.90875174168951</v>
      </c>
      <c r="R23">
        <v>-0.025168049714033386</v>
      </c>
    </row>
    <row r="24" spans="1:18" ht="12.75">
      <c r="A24" s="1">
        <f>DATE(1948,9,1)</f>
        <v>17777</v>
      </c>
      <c r="B24">
        <v>1948</v>
      </c>
      <c r="C24">
        <v>9</v>
      </c>
      <c r="D24">
        <v>1.09</v>
      </c>
      <c r="F24" s="3">
        <f>DATE(1948,9,1)</f>
        <v>17777</v>
      </c>
      <c r="G24">
        <v>24.5</v>
      </c>
      <c r="H24">
        <v>24.36</v>
      </c>
      <c r="I24" s="2">
        <f t="shared" si="0"/>
        <v>0.997134670487106</v>
      </c>
      <c r="J24" s="2">
        <f t="shared" si="1"/>
        <v>-0.3896401718739062</v>
      </c>
      <c r="N24" s="2">
        <v>0.09135693311545232</v>
      </c>
      <c r="P24" s="2">
        <f t="shared" si="2"/>
        <v>10.32545131094924</v>
      </c>
      <c r="R24">
        <v>-0.0072602784187007245</v>
      </c>
    </row>
    <row r="25" spans="1:18" ht="12.75">
      <c r="A25" s="1">
        <f>DATE(1948,10,1)</f>
        <v>17807</v>
      </c>
      <c r="B25">
        <v>1948</v>
      </c>
      <c r="C25">
        <v>10</v>
      </c>
      <c r="D25">
        <v>1.12</v>
      </c>
      <c r="F25" s="3">
        <f>DATE(1948,10,1)</f>
        <v>17807</v>
      </c>
      <c r="G25">
        <v>24.4</v>
      </c>
      <c r="H25">
        <v>24.31</v>
      </c>
      <c r="I25" s="2">
        <f t="shared" si="0"/>
        <v>0.9979474548440065</v>
      </c>
      <c r="J25" s="2">
        <f t="shared" si="1"/>
        <v>4.662536841565568</v>
      </c>
      <c r="N25" s="2">
        <v>0.10513795612359961</v>
      </c>
      <c r="P25" s="2">
        <f t="shared" si="2"/>
        <v>5.052177013439474</v>
      </c>
      <c r="R25">
        <v>-0.02160817058211691</v>
      </c>
    </row>
    <row r="26" spans="1:18" ht="12.75">
      <c r="A26" s="1">
        <f>DATE(1948,11,1)</f>
        <v>17838</v>
      </c>
      <c r="B26">
        <v>1948</v>
      </c>
      <c r="C26">
        <v>11</v>
      </c>
      <c r="D26">
        <v>1.14</v>
      </c>
      <c r="F26" s="3">
        <f>DATE(1948,11,1)</f>
        <v>17838</v>
      </c>
      <c r="G26">
        <v>24.2</v>
      </c>
      <c r="H26">
        <v>24.16</v>
      </c>
      <c r="I26" s="2">
        <f t="shared" si="0"/>
        <v>0.9938296997120527</v>
      </c>
      <c r="J26" s="2">
        <f t="shared" si="1"/>
        <v>3.664689379109509</v>
      </c>
      <c r="N26" s="2">
        <v>0.09097748563173004</v>
      </c>
      <c r="P26" s="2">
        <f t="shared" si="2"/>
        <v>-0.9978474624560585</v>
      </c>
      <c r="R26">
        <v>0.027564748065258365</v>
      </c>
    </row>
    <row r="27" spans="1:18" ht="12.75">
      <c r="A27" s="1">
        <f>DATE(1948,12,1)</f>
        <v>17868</v>
      </c>
      <c r="B27">
        <v>1948</v>
      </c>
      <c r="C27">
        <v>12</v>
      </c>
      <c r="D27">
        <v>1.15</v>
      </c>
      <c r="F27" s="3">
        <f>DATE(1948,12,1)</f>
        <v>17868</v>
      </c>
      <c r="G27">
        <v>24.1</v>
      </c>
      <c r="H27">
        <v>24.05</v>
      </c>
      <c r="I27" s="2">
        <f t="shared" si="0"/>
        <v>0.9954470198675497</v>
      </c>
      <c r="J27" s="2">
        <f t="shared" si="1"/>
        <v>8.94874548720972</v>
      </c>
      <c r="N27" s="2">
        <v>0.08305077448852291</v>
      </c>
      <c r="P27" s="2">
        <f t="shared" si="2"/>
        <v>5.284056108100211</v>
      </c>
      <c r="R27">
        <v>-0.0015089029960859478</v>
      </c>
    </row>
    <row r="28" spans="1:18" ht="12.75">
      <c r="A28" s="1">
        <f>DATE(1949,1,1)</f>
        <v>17899</v>
      </c>
      <c r="B28">
        <v>1949</v>
      </c>
      <c r="C28">
        <v>1</v>
      </c>
      <c r="D28">
        <v>1.16</v>
      </c>
      <c r="F28" s="3">
        <f>DATE(1949,1,1)</f>
        <v>17899</v>
      </c>
      <c r="G28">
        <v>24</v>
      </c>
      <c r="H28">
        <v>24.01</v>
      </c>
      <c r="I28" s="2">
        <f t="shared" si="0"/>
        <v>0.9983367983367983</v>
      </c>
      <c r="J28" s="2">
        <f t="shared" si="1"/>
        <v>6.854055912221613</v>
      </c>
      <c r="N28" s="2">
        <v>0.05612375775152241</v>
      </c>
      <c r="P28" s="2">
        <f t="shared" si="2"/>
        <v>-2.0946895749881076</v>
      </c>
      <c r="R28">
        <v>0.018181290815335212</v>
      </c>
    </row>
    <row r="29" spans="1:18" ht="12.75">
      <c r="A29" s="1">
        <f>DATE(1949,2,1)</f>
        <v>17930</v>
      </c>
      <c r="B29">
        <v>1949</v>
      </c>
      <c r="C29">
        <v>2</v>
      </c>
      <c r="D29">
        <v>1.16</v>
      </c>
      <c r="F29" s="3">
        <f>DATE(1949,2,1)</f>
        <v>17930</v>
      </c>
      <c r="G29">
        <v>23.8</v>
      </c>
      <c r="H29">
        <v>23.91</v>
      </c>
      <c r="I29" s="2">
        <f t="shared" si="0"/>
        <v>0.9958350687213661</v>
      </c>
      <c r="J29" s="2">
        <f t="shared" si="1"/>
        <v>3.200991197168568</v>
      </c>
      <c r="N29" s="2">
        <v>0.022204008616797118</v>
      </c>
      <c r="P29" s="2">
        <f t="shared" si="2"/>
        <v>-3.653064715053045</v>
      </c>
      <c r="R29">
        <v>0.0034196187657321393</v>
      </c>
    </row>
    <row r="30" spans="1:18" ht="12.75">
      <c r="A30" s="1">
        <f>DATE(1949,3,1)</f>
        <v>17958</v>
      </c>
      <c r="B30">
        <v>1949</v>
      </c>
      <c r="C30">
        <v>3</v>
      </c>
      <c r="D30">
        <v>1.16</v>
      </c>
      <c r="F30" s="3">
        <f>DATE(1949,3,1)</f>
        <v>17958</v>
      </c>
      <c r="G30">
        <v>23.8</v>
      </c>
      <c r="H30">
        <v>23.91</v>
      </c>
      <c r="I30" s="2">
        <f t="shared" si="0"/>
        <v>1</v>
      </c>
      <c r="J30" s="2">
        <f t="shared" si="1"/>
        <v>6.355469222415788</v>
      </c>
      <c r="N30" s="2">
        <v>0.07261476622942828</v>
      </c>
      <c r="P30" s="2">
        <f t="shared" si="2"/>
        <v>3.1544780252472204</v>
      </c>
      <c r="R30">
        <v>-0.08426949829114229</v>
      </c>
    </row>
    <row r="31" spans="1:18" ht="12.75">
      <c r="A31" s="1">
        <f>DATE(1949,4,1)</f>
        <v>17989</v>
      </c>
      <c r="B31">
        <v>1949</v>
      </c>
      <c r="C31">
        <v>4</v>
      </c>
      <c r="D31">
        <v>1.16</v>
      </c>
      <c r="F31" s="3">
        <f>DATE(1949,4,1)</f>
        <v>17989</v>
      </c>
      <c r="G31">
        <v>23.9</v>
      </c>
      <c r="H31">
        <v>23.92</v>
      </c>
      <c r="I31" s="2">
        <f t="shared" si="0"/>
        <v>1.000418235048097</v>
      </c>
      <c r="J31" s="2">
        <f t="shared" si="1"/>
        <v>1.1600000000000055</v>
      </c>
      <c r="N31" s="2">
        <v>0.07559946528330189</v>
      </c>
      <c r="P31" s="2">
        <f t="shared" si="2"/>
        <v>-5.195469222415783</v>
      </c>
      <c r="R31">
        <v>0.04399342209791352</v>
      </c>
    </row>
    <row r="32" spans="1:18" ht="12.75">
      <c r="A32" s="1">
        <f>DATE(1949,5,1)</f>
        <v>18019</v>
      </c>
      <c r="B32">
        <v>1949</v>
      </c>
      <c r="C32">
        <v>5</v>
      </c>
      <c r="D32">
        <v>1.15</v>
      </c>
      <c r="F32" s="3">
        <f>DATE(1949,5,1)</f>
        <v>18019</v>
      </c>
      <c r="G32">
        <v>23.8</v>
      </c>
      <c r="H32">
        <v>23.91</v>
      </c>
      <c r="I32" s="2">
        <f t="shared" si="0"/>
        <v>0.9995819397993311</v>
      </c>
      <c r="J32" s="2">
        <f t="shared" si="1"/>
        <v>0.6437236799734736</v>
      </c>
      <c r="N32" s="2">
        <v>0.08756506180773785</v>
      </c>
      <c r="P32" s="2">
        <f t="shared" si="2"/>
        <v>-0.5162763200265319</v>
      </c>
      <c r="R32">
        <v>-0.010260141384164284</v>
      </c>
    </row>
    <row r="33" spans="1:18" ht="12.75">
      <c r="A33" s="1">
        <f>DATE(1949,6,1)</f>
        <v>18050</v>
      </c>
      <c r="B33">
        <v>1949</v>
      </c>
      <c r="C33">
        <v>6</v>
      </c>
      <c r="D33">
        <v>1.16</v>
      </c>
      <c r="F33" s="3">
        <f>DATE(1949,6,1)</f>
        <v>18050</v>
      </c>
      <c r="G33">
        <v>23.9</v>
      </c>
      <c r="H33">
        <v>23.92</v>
      </c>
      <c r="I33" s="2">
        <f t="shared" si="0"/>
        <v>1.000418235048097</v>
      </c>
      <c r="J33" s="2">
        <f t="shared" si="1"/>
        <v>1.6688733868467365</v>
      </c>
      <c r="N33" s="2">
        <v>0.09352970427359704</v>
      </c>
      <c r="P33" s="2">
        <f t="shared" si="2"/>
        <v>1.025149706873263</v>
      </c>
      <c r="R33">
        <v>0.0071774402569782115</v>
      </c>
    </row>
    <row r="34" spans="1:18" ht="12.75">
      <c r="A34" s="1">
        <f>DATE(1949,7,1)</f>
        <v>18080</v>
      </c>
      <c r="B34">
        <v>1949</v>
      </c>
      <c r="C34">
        <v>7</v>
      </c>
      <c r="D34">
        <v>0.98</v>
      </c>
      <c r="F34" s="3">
        <f>DATE(1949,7,1)</f>
        <v>18080</v>
      </c>
      <c r="G34">
        <v>23.7</v>
      </c>
      <c r="H34">
        <v>23.7</v>
      </c>
      <c r="I34" s="2">
        <f t="shared" si="0"/>
        <v>0.9908026755852842</v>
      </c>
      <c r="J34" s="2">
        <f t="shared" si="1"/>
        <v>0.4745745645449384</v>
      </c>
      <c r="N34" s="2">
        <v>0.1693748896774898</v>
      </c>
      <c r="P34" s="2">
        <f t="shared" si="2"/>
        <v>-1.194298822301798</v>
      </c>
      <c r="R34">
        <v>-0.07332912007059719</v>
      </c>
    </row>
    <row r="35" spans="1:18" ht="12.75">
      <c r="A35" s="1">
        <f>DATE(1949,8,1)</f>
        <v>18111</v>
      </c>
      <c r="B35">
        <v>1949</v>
      </c>
      <c r="C35">
        <v>8</v>
      </c>
      <c r="D35">
        <v>1.02</v>
      </c>
      <c r="F35" s="3">
        <f>DATE(1949,8,1)</f>
        <v>18111</v>
      </c>
      <c r="G35">
        <v>23.8</v>
      </c>
      <c r="H35">
        <v>23.7</v>
      </c>
      <c r="I35" s="2">
        <f t="shared" si="0"/>
        <v>1</v>
      </c>
      <c r="J35" s="2">
        <f t="shared" si="1"/>
        <v>12.865527543587163</v>
      </c>
      <c r="N35" s="2">
        <v>0.14925341247555202</v>
      </c>
      <c r="P35" s="2">
        <f t="shared" si="2"/>
        <v>12.390952979042225</v>
      </c>
      <c r="R35">
        <v>0.11110084139385974</v>
      </c>
    </row>
    <row r="36" spans="1:18" ht="12.75">
      <c r="A36" s="1">
        <f>DATE(1949,9,1)</f>
        <v>18142</v>
      </c>
      <c r="B36">
        <v>1949</v>
      </c>
      <c r="C36">
        <v>9</v>
      </c>
      <c r="D36">
        <v>1.06</v>
      </c>
      <c r="F36" s="3">
        <f>DATE(1949,9,1)</f>
        <v>18142</v>
      </c>
      <c r="G36">
        <v>23.9</v>
      </c>
      <c r="H36">
        <v>23.75</v>
      </c>
      <c r="I36" s="2">
        <f t="shared" si="0"/>
        <v>1.0021097046413503</v>
      </c>
      <c r="J36" s="2">
        <f t="shared" si="1"/>
        <v>1.0599999999999943</v>
      </c>
      <c r="N36" s="2">
        <v>0.18059438265349825</v>
      </c>
      <c r="P36" s="2">
        <f t="shared" si="2"/>
        <v>-11.805527543587168</v>
      </c>
      <c r="R36">
        <v>-0.06430332320702806</v>
      </c>
    </row>
    <row r="37" spans="1:18" ht="12.75">
      <c r="A37" s="1">
        <f>DATE(1949,10,1)</f>
        <v>18172</v>
      </c>
      <c r="B37">
        <v>1949</v>
      </c>
      <c r="C37">
        <v>10</v>
      </c>
      <c r="D37">
        <v>1.04</v>
      </c>
      <c r="F37" s="3">
        <f>DATE(1949,10,1)</f>
        <v>18172</v>
      </c>
      <c r="G37">
        <v>23.7</v>
      </c>
      <c r="H37">
        <v>23.67</v>
      </c>
      <c r="I37" s="2">
        <f t="shared" si="0"/>
        <v>0.9966315789473685</v>
      </c>
      <c r="J37" s="2">
        <f t="shared" si="1"/>
        <v>-1.4832396079615617</v>
      </c>
      <c r="N37" s="2">
        <v>0.20155339731018884</v>
      </c>
      <c r="P37" s="2">
        <f t="shared" si="2"/>
        <v>-2.543239607961556</v>
      </c>
      <c r="R37">
        <v>0.008632987471777208</v>
      </c>
    </row>
    <row r="38" spans="1:18" ht="12.75">
      <c r="A38" s="1">
        <f>DATE(1949,11,1)</f>
        <v>18203</v>
      </c>
      <c r="B38">
        <v>1949</v>
      </c>
      <c r="C38">
        <v>11</v>
      </c>
      <c r="D38">
        <v>1.06</v>
      </c>
      <c r="F38" s="3">
        <f>DATE(1949,11,1)</f>
        <v>18203</v>
      </c>
      <c r="G38">
        <v>23.8</v>
      </c>
      <c r="H38">
        <v>23.7</v>
      </c>
      <c r="I38" s="2">
        <f t="shared" si="0"/>
        <v>1.0012674271229403</v>
      </c>
      <c r="J38" s="2">
        <f t="shared" si="1"/>
        <v>5.235814388372995</v>
      </c>
      <c r="N38" s="2">
        <v>0.1564720947422257</v>
      </c>
      <c r="P38" s="2">
        <f t="shared" si="2"/>
        <v>6.719053996334557</v>
      </c>
      <c r="R38">
        <v>0.07518851389404235</v>
      </c>
    </row>
    <row r="39" spans="1:18" ht="12.75">
      <c r="A39" s="1">
        <f>DATE(1949,12,1)</f>
        <v>18233</v>
      </c>
      <c r="B39">
        <v>1949</v>
      </c>
      <c r="C39">
        <v>12</v>
      </c>
      <c r="D39">
        <v>1.1</v>
      </c>
      <c r="F39" s="3">
        <f>DATE(1949,12,1)</f>
        <v>18233</v>
      </c>
      <c r="G39">
        <v>23.6</v>
      </c>
      <c r="H39">
        <v>23.61</v>
      </c>
      <c r="I39" s="2">
        <f t="shared" si="0"/>
        <v>0.9962025316455696</v>
      </c>
      <c r="J39" s="2">
        <f t="shared" si="1"/>
        <v>-0.4250496305172269</v>
      </c>
      <c r="N39" s="2">
        <v>0.11320013603689628</v>
      </c>
      <c r="P39" s="2">
        <f t="shared" si="2"/>
        <v>-5.660864018890221</v>
      </c>
      <c r="R39">
        <v>-0.007170023798177426</v>
      </c>
    </row>
    <row r="40" spans="1:18" ht="12.75">
      <c r="A40" s="1">
        <f>DATE(1950,1,1)</f>
        <v>18264</v>
      </c>
      <c r="B40">
        <v>1950</v>
      </c>
      <c r="C40">
        <v>1</v>
      </c>
      <c r="D40">
        <v>1.09</v>
      </c>
      <c r="F40" s="3">
        <f>DATE(1950,1,1)</f>
        <v>18264</v>
      </c>
      <c r="G40">
        <v>23.5</v>
      </c>
      <c r="H40">
        <v>23.51</v>
      </c>
      <c r="I40" s="2">
        <f t="shared" si="0"/>
        <v>0.9957645065650149</v>
      </c>
      <c r="J40" s="2">
        <f t="shared" si="1"/>
        <v>5.812385066163062</v>
      </c>
      <c r="N40" s="2">
        <v>0.11026398997494737</v>
      </c>
      <c r="P40" s="2">
        <f t="shared" si="2"/>
        <v>6.237434696680289</v>
      </c>
      <c r="R40">
        <v>-0.03658657962609023</v>
      </c>
    </row>
    <row r="41" spans="1:18" ht="12.75">
      <c r="A41" s="1">
        <f>DATE(1950,2,1)</f>
        <v>18295</v>
      </c>
      <c r="B41">
        <v>1950</v>
      </c>
      <c r="C41">
        <v>2</v>
      </c>
      <c r="D41">
        <v>1.13</v>
      </c>
      <c r="F41" s="3">
        <f>DATE(1950,2,1)</f>
        <v>18295</v>
      </c>
      <c r="G41">
        <v>23.5</v>
      </c>
      <c r="H41">
        <v>23.61</v>
      </c>
      <c r="I41" s="2">
        <f t="shared" si="0"/>
        <v>1.0042535091450446</v>
      </c>
      <c r="J41" s="2">
        <f t="shared" si="1"/>
        <v>6.414375989019105</v>
      </c>
      <c r="N41" s="2">
        <v>0.1598324854500427</v>
      </c>
      <c r="P41" s="2">
        <f t="shared" si="2"/>
        <v>0.6019909228560438</v>
      </c>
      <c r="R41">
        <v>-0.053762934585660636</v>
      </c>
    </row>
    <row r="42" spans="1:18" ht="12.75">
      <c r="A42" s="1">
        <f>DATE(1950,3,1)</f>
        <v>18323</v>
      </c>
      <c r="B42">
        <v>1950</v>
      </c>
      <c r="C42">
        <v>3</v>
      </c>
      <c r="D42">
        <v>1.14</v>
      </c>
      <c r="F42" s="3">
        <f>DATE(1950,3,1)</f>
        <v>18323</v>
      </c>
      <c r="G42">
        <v>23.6</v>
      </c>
      <c r="H42">
        <v>23.64</v>
      </c>
      <c r="I42" s="2">
        <f t="shared" si="0"/>
        <v>1.0012706480304956</v>
      </c>
      <c r="J42" s="2">
        <f t="shared" si="1"/>
        <v>-3.8824585030179604</v>
      </c>
      <c r="N42" s="2">
        <v>0.18564537700569397</v>
      </c>
      <c r="P42" s="2">
        <f t="shared" si="2"/>
        <v>-10.296834492037066</v>
      </c>
      <c r="R42">
        <v>0.014438320068861053</v>
      </c>
    </row>
    <row r="43" spans="1:18" ht="12.75">
      <c r="A43" s="1">
        <f>DATE(1950,4,1)</f>
        <v>18354</v>
      </c>
      <c r="B43">
        <v>1950</v>
      </c>
      <c r="C43">
        <v>4</v>
      </c>
      <c r="D43">
        <v>1.16</v>
      </c>
      <c r="F43" s="3">
        <f>DATE(1950,4,1)</f>
        <v>18354</v>
      </c>
      <c r="G43">
        <v>23.6</v>
      </c>
      <c r="H43">
        <v>23.65</v>
      </c>
      <c r="I43" s="2">
        <f t="shared" si="0"/>
        <v>1.0004230118443316</v>
      </c>
      <c r="J43" s="2">
        <f t="shared" si="1"/>
        <v>-0.3698006940417997</v>
      </c>
      <c r="N43" s="2">
        <v>0.20854699607715438</v>
      </c>
      <c r="P43" s="2">
        <f t="shared" si="2"/>
        <v>3.5126578089761606</v>
      </c>
      <c r="R43">
        <v>0.006458021687852624</v>
      </c>
    </row>
    <row r="44" spans="1:18" ht="12.75">
      <c r="A44" s="1">
        <f>DATE(1950,5,1)</f>
        <v>18384</v>
      </c>
      <c r="B44">
        <v>1950</v>
      </c>
      <c r="C44">
        <v>5</v>
      </c>
      <c r="D44">
        <v>1.17</v>
      </c>
      <c r="F44" s="3">
        <f>DATE(1950,5,1)</f>
        <v>18384</v>
      </c>
      <c r="G44">
        <v>23.7</v>
      </c>
      <c r="H44">
        <v>23.77</v>
      </c>
      <c r="I44" s="2">
        <f t="shared" si="0"/>
        <v>1.0050739957716703</v>
      </c>
      <c r="J44" s="2">
        <f t="shared" si="1"/>
        <v>0.6578559717846044</v>
      </c>
      <c r="N44" s="2">
        <v>0.1914762288029737</v>
      </c>
      <c r="P44" s="2">
        <f t="shared" si="2"/>
        <v>1.0276566658264041</v>
      </c>
      <c r="R44">
        <v>0.0424840813947949</v>
      </c>
    </row>
    <row r="45" spans="1:18" ht="12.75">
      <c r="A45" s="1">
        <f>DATE(1950,6,1)</f>
        <v>18415</v>
      </c>
      <c r="B45">
        <v>1950</v>
      </c>
      <c r="C45">
        <v>6</v>
      </c>
      <c r="D45">
        <v>1.17</v>
      </c>
      <c r="F45" s="3">
        <f>DATE(1950,6,1)</f>
        <v>18415</v>
      </c>
      <c r="G45">
        <v>23.8</v>
      </c>
      <c r="H45">
        <v>23.88</v>
      </c>
      <c r="I45" s="2">
        <f t="shared" si="0"/>
        <v>1.0046276819520403</v>
      </c>
      <c r="J45" s="2">
        <f t="shared" si="1"/>
        <v>-4.791590497350295</v>
      </c>
      <c r="N45" s="2">
        <v>0.23086232632253326</v>
      </c>
      <c r="P45" s="2">
        <f t="shared" si="2"/>
        <v>-5.4494464691349</v>
      </c>
      <c r="R45">
        <v>-0.06332048933053812</v>
      </c>
    </row>
    <row r="46" spans="1:18" ht="12.75">
      <c r="A46" s="1">
        <f>DATE(1950,7,1)</f>
        <v>18445</v>
      </c>
      <c r="B46">
        <v>1950</v>
      </c>
      <c r="C46">
        <v>7</v>
      </c>
      <c r="D46">
        <v>1.17</v>
      </c>
      <c r="F46" s="3">
        <f>DATE(1950,7,1)</f>
        <v>18445</v>
      </c>
      <c r="G46">
        <v>24.1</v>
      </c>
      <c r="H46">
        <v>24.07</v>
      </c>
      <c r="I46" s="2">
        <f t="shared" si="0"/>
        <v>1.007956448911223</v>
      </c>
      <c r="J46" s="2">
        <f t="shared" si="1"/>
        <v>-4.282783367905429</v>
      </c>
      <c r="N46" s="2">
        <v>0.17605420493691484</v>
      </c>
      <c r="P46" s="2">
        <f t="shared" si="2"/>
        <v>0.5088071294448664</v>
      </c>
      <c r="R46">
        <v>0.09840089023310086</v>
      </c>
    </row>
    <row r="47" spans="1:18" ht="12.75">
      <c r="A47" s="1">
        <f>DATE(1950,8,1)</f>
        <v>18476</v>
      </c>
      <c r="B47">
        <v>1950</v>
      </c>
      <c r="C47">
        <v>8</v>
      </c>
      <c r="D47">
        <v>1.21</v>
      </c>
      <c r="F47" s="3">
        <f>DATE(1950,8,1)</f>
        <v>18476</v>
      </c>
      <c r="G47">
        <v>24.3</v>
      </c>
      <c r="H47">
        <v>24.2</v>
      </c>
      <c r="I47" s="2">
        <f t="shared" si="0"/>
        <v>1.0054009140008309</v>
      </c>
      <c r="J47" s="2">
        <f t="shared" si="1"/>
        <v>-7.971528043946718</v>
      </c>
      <c r="N47" s="2">
        <v>0.13157937953410187</v>
      </c>
      <c r="P47" s="2">
        <f t="shared" si="2"/>
        <v>-3.6887446760412894</v>
      </c>
      <c r="R47">
        <v>-0.013991484047378063</v>
      </c>
    </row>
    <row r="48" spans="1:18" ht="12.75">
      <c r="A48" s="1">
        <f>DATE(1950,9,1)</f>
        <v>18507</v>
      </c>
      <c r="B48">
        <v>1950</v>
      </c>
      <c r="C48">
        <v>9</v>
      </c>
      <c r="D48">
        <v>1.31</v>
      </c>
      <c r="F48" s="3">
        <f>DATE(1950,9,1)</f>
        <v>18507</v>
      </c>
      <c r="G48">
        <v>24.4</v>
      </c>
      <c r="H48">
        <v>24.34</v>
      </c>
      <c r="I48" s="2">
        <f t="shared" si="0"/>
        <v>1.0057851239669422</v>
      </c>
      <c r="J48" s="2">
        <f t="shared" si="1"/>
        <v>-5.031187649519342</v>
      </c>
      <c r="N48" s="2">
        <v>0.08455765392189431</v>
      </c>
      <c r="P48" s="2">
        <f t="shared" si="2"/>
        <v>2.940340394427376</v>
      </c>
      <c r="R48">
        <v>0.005650545453464986</v>
      </c>
    </row>
    <row r="49" spans="1:18" ht="12.75">
      <c r="A49" s="1">
        <f>DATE(1950,10,1)</f>
        <v>18537</v>
      </c>
      <c r="B49">
        <v>1950</v>
      </c>
      <c r="C49">
        <v>10</v>
      </c>
      <c r="D49">
        <v>1.33</v>
      </c>
      <c r="F49" s="3">
        <f>DATE(1950,10,1)</f>
        <v>18537</v>
      </c>
      <c r="G49">
        <v>24.6</v>
      </c>
      <c r="H49">
        <v>24.5</v>
      </c>
      <c r="I49" s="2">
        <f t="shared" si="0"/>
        <v>1.0065735414954806</v>
      </c>
      <c r="J49" s="2">
        <f t="shared" si="1"/>
        <v>-5.446948860575307</v>
      </c>
      <c r="N49" s="2">
        <v>0.06940207336936931</v>
      </c>
      <c r="P49" s="2">
        <f t="shared" si="2"/>
        <v>-0.41576121105596453</v>
      </c>
      <c r="R49">
        <v>-0.03356242557412306</v>
      </c>
    </row>
    <row r="50" spans="1:18" ht="12.75">
      <c r="A50" s="1">
        <f>DATE(1950,11,1)</f>
        <v>18568</v>
      </c>
      <c r="B50">
        <v>1950</v>
      </c>
      <c r="C50">
        <v>11</v>
      </c>
      <c r="D50">
        <v>1.36</v>
      </c>
      <c r="F50" s="3">
        <f>DATE(1950,11,1)</f>
        <v>18568</v>
      </c>
      <c r="G50">
        <v>24.7</v>
      </c>
      <c r="H50">
        <v>24.6</v>
      </c>
      <c r="I50" s="2">
        <f t="shared" si="0"/>
        <v>1.0040816326530613</v>
      </c>
      <c r="J50" s="2">
        <f t="shared" si="1"/>
        <v>-6.304123939254391</v>
      </c>
      <c r="N50" s="2">
        <v>0.04524077149659245</v>
      </c>
      <c r="P50" s="2">
        <f t="shared" si="2"/>
        <v>-0.8571750786790844</v>
      </c>
      <c r="R50">
        <v>0.00855396796838581</v>
      </c>
    </row>
    <row r="51" spans="1:18" ht="12.75">
      <c r="A51" s="1">
        <f>DATE(1950,12,1)</f>
        <v>18598</v>
      </c>
      <c r="B51">
        <v>1950</v>
      </c>
      <c r="C51">
        <v>12</v>
      </c>
      <c r="D51">
        <v>1.37</v>
      </c>
      <c r="F51" s="3">
        <f>DATE(1950,12,1)</f>
        <v>18598</v>
      </c>
      <c r="G51">
        <v>25</v>
      </c>
      <c r="H51">
        <v>24.98</v>
      </c>
      <c r="I51" s="2">
        <f t="shared" si="0"/>
        <v>1.0154471544715447</v>
      </c>
      <c r="J51" s="2">
        <f t="shared" si="1"/>
        <v>-3.4658062709604254</v>
      </c>
      <c r="N51" s="2">
        <v>0.10280961550555741</v>
      </c>
      <c r="P51" s="2">
        <f t="shared" si="2"/>
        <v>2.838317668293966</v>
      </c>
      <c r="R51">
        <v>-0.08302364861521916</v>
      </c>
    </row>
    <row r="52" spans="1:18" ht="12.75">
      <c r="A52" s="1">
        <f>DATE(1951,1,1)</f>
        <v>18629</v>
      </c>
      <c r="B52">
        <v>1951</v>
      </c>
      <c r="C52">
        <v>1</v>
      </c>
      <c r="D52">
        <v>1.39</v>
      </c>
      <c r="F52" s="3">
        <f>DATE(1951,1,1)</f>
        <v>18629</v>
      </c>
      <c r="G52">
        <v>25.4</v>
      </c>
      <c r="H52">
        <v>25.38</v>
      </c>
      <c r="I52" s="2">
        <f t="shared" si="0"/>
        <v>1.0160128102481985</v>
      </c>
      <c r="J52" s="2">
        <f t="shared" si="1"/>
        <v>-15.645705053252678</v>
      </c>
      <c r="N52" s="2">
        <v>0.1498781279536524</v>
      </c>
      <c r="P52" s="2">
        <f t="shared" si="2"/>
        <v>-12.179898782292252</v>
      </c>
      <c r="R52">
        <v>-0.00024037221522989994</v>
      </c>
    </row>
    <row r="53" spans="1:18" ht="12.75">
      <c r="A53" s="1">
        <f>DATE(1951,2,1)</f>
        <v>18660</v>
      </c>
      <c r="B53">
        <v>1951</v>
      </c>
      <c r="C53">
        <v>2</v>
      </c>
      <c r="D53">
        <v>1.39</v>
      </c>
      <c r="F53" s="3">
        <f>DATE(1951,2,1)</f>
        <v>18660</v>
      </c>
      <c r="G53">
        <v>25.7</v>
      </c>
      <c r="H53">
        <v>25.83</v>
      </c>
      <c r="I53" s="2">
        <f t="shared" si="0"/>
        <v>1.0177304964539007</v>
      </c>
      <c r="J53" s="2">
        <f t="shared" si="1"/>
        <v>-16.20754430756253</v>
      </c>
      <c r="N53" s="2">
        <v>0.1304832156516898</v>
      </c>
      <c r="P53" s="2">
        <f t="shared" si="2"/>
        <v>-0.5618392543098505</v>
      </c>
      <c r="R53">
        <v>0.06849530669724345</v>
      </c>
    </row>
    <row r="54" spans="1:18" ht="12.75">
      <c r="A54" s="1">
        <f>DATE(1951,3,1)</f>
        <v>18688</v>
      </c>
      <c r="B54">
        <v>1951</v>
      </c>
      <c r="C54">
        <v>3</v>
      </c>
      <c r="D54">
        <v>1.42</v>
      </c>
      <c r="F54" s="3">
        <f>DATE(1951,3,1)</f>
        <v>18688</v>
      </c>
      <c r="G54">
        <v>25.8</v>
      </c>
      <c r="H54">
        <v>25.88</v>
      </c>
      <c r="I54" s="2">
        <f t="shared" si="0"/>
        <v>1.0019357336430508</v>
      </c>
      <c r="J54" s="2">
        <f t="shared" si="1"/>
        <v>-17.864643737381957</v>
      </c>
      <c r="N54" s="2">
        <v>0.07437069420303231</v>
      </c>
      <c r="P54" s="2">
        <f t="shared" si="2"/>
        <v>-1.6570994298194286</v>
      </c>
      <c r="R54">
        <v>0.03659374878190713</v>
      </c>
    </row>
    <row r="55" spans="1:18" ht="12.75">
      <c r="A55" s="1">
        <f>DATE(1951,4,1)</f>
        <v>18719</v>
      </c>
      <c r="B55">
        <v>1951</v>
      </c>
      <c r="C55">
        <v>4</v>
      </c>
      <c r="D55">
        <v>1.52</v>
      </c>
      <c r="F55" s="3">
        <f>DATE(1951,4,1)</f>
        <v>18719</v>
      </c>
      <c r="G55">
        <v>25.8</v>
      </c>
      <c r="H55">
        <v>25.92</v>
      </c>
      <c r="I55" s="2">
        <f t="shared" si="0"/>
        <v>1.001545595054096</v>
      </c>
      <c r="J55" s="2">
        <f t="shared" si="1"/>
        <v>-0.8087828966333865</v>
      </c>
      <c r="N55" s="2">
        <v>0.052682235897097016</v>
      </c>
      <c r="P55" s="2">
        <f t="shared" si="2"/>
        <v>17.055860840748572</v>
      </c>
      <c r="R55">
        <v>-0.019170671588273888</v>
      </c>
    </row>
    <row r="56" spans="1:18" ht="12.75">
      <c r="A56" s="1">
        <f>DATE(1951,5,1)</f>
        <v>18749</v>
      </c>
      <c r="B56">
        <v>1951</v>
      </c>
      <c r="C56">
        <v>5</v>
      </c>
      <c r="D56">
        <v>1.58</v>
      </c>
      <c r="F56" s="3">
        <f>DATE(1951,5,1)</f>
        <v>18749</v>
      </c>
      <c r="G56">
        <v>25.9</v>
      </c>
      <c r="H56">
        <v>25.99</v>
      </c>
      <c r="I56" s="2">
        <f t="shared" si="0"/>
        <v>1.0027006172839505</v>
      </c>
      <c r="J56" s="2">
        <f t="shared" si="1"/>
        <v>-0.28522673655299036</v>
      </c>
      <c r="N56" s="2">
        <v>0.057002528427619034</v>
      </c>
      <c r="P56" s="2">
        <f t="shared" si="2"/>
        <v>0.5235561600803962</v>
      </c>
      <c r="R56">
        <v>-0.02675836030701748</v>
      </c>
    </row>
    <row r="57" spans="1:18" ht="12.75">
      <c r="A57" s="1">
        <f>DATE(1951,6,1)</f>
        <v>18780</v>
      </c>
      <c r="B57">
        <v>1951</v>
      </c>
      <c r="C57">
        <v>6</v>
      </c>
      <c r="D57">
        <v>1.5</v>
      </c>
      <c r="F57" s="3">
        <f>DATE(1951,6,1)</f>
        <v>18780</v>
      </c>
      <c r="G57">
        <v>25.9</v>
      </c>
      <c r="H57">
        <v>25.93</v>
      </c>
      <c r="I57" s="2">
        <f t="shared" si="0"/>
        <v>0.9976914197768373</v>
      </c>
      <c r="J57" s="2">
        <f t="shared" si="1"/>
        <v>-1.7323309293251432</v>
      </c>
      <c r="N57" s="2">
        <v>0.0004439707698097188</v>
      </c>
      <c r="P57" s="2">
        <f t="shared" si="2"/>
        <v>-1.4471041927721529</v>
      </c>
      <c r="R57">
        <v>0.061472121695492536</v>
      </c>
    </row>
    <row r="58" spans="1:18" ht="12.75">
      <c r="A58" s="1">
        <f>DATE(1951,7,1)</f>
        <v>18810</v>
      </c>
      <c r="B58">
        <v>1951</v>
      </c>
      <c r="C58">
        <v>7</v>
      </c>
      <c r="D58">
        <v>1.59</v>
      </c>
      <c r="F58" s="3">
        <f>DATE(1951,7,1)</f>
        <v>18810</v>
      </c>
      <c r="G58">
        <v>25.9</v>
      </c>
      <c r="H58">
        <v>25.91</v>
      </c>
      <c r="I58" s="2">
        <f t="shared" si="0"/>
        <v>0.9992286926340147</v>
      </c>
      <c r="J58" s="2">
        <f t="shared" si="1"/>
        <v>4.447034323772114</v>
      </c>
      <c r="N58" s="2">
        <v>0.02801538167174831</v>
      </c>
      <c r="P58" s="2">
        <f t="shared" si="2"/>
        <v>6.179365253097258</v>
      </c>
      <c r="R58">
        <v>-0.08051494592365155</v>
      </c>
    </row>
    <row r="59" spans="1:18" ht="12.75">
      <c r="A59" s="1">
        <f>DATE(1951,8,1)</f>
        <v>18841</v>
      </c>
      <c r="B59">
        <v>1951</v>
      </c>
      <c r="C59">
        <v>8</v>
      </c>
      <c r="D59">
        <v>1.64</v>
      </c>
      <c r="F59" s="3">
        <f>DATE(1951,8,1)</f>
        <v>18841</v>
      </c>
      <c r="G59">
        <v>25.9</v>
      </c>
      <c r="H59">
        <v>25.86</v>
      </c>
      <c r="I59" s="2">
        <f t="shared" si="0"/>
        <v>0.9980702431493631</v>
      </c>
      <c r="J59" s="2">
        <f t="shared" si="1"/>
        <v>2.585481632827369</v>
      </c>
      <c r="N59" s="2">
        <v>0.03611268265965653</v>
      </c>
      <c r="P59" s="2">
        <f t="shared" si="2"/>
        <v>-1.8615526909447455</v>
      </c>
      <c r="R59">
        <v>0.017106250923885576</v>
      </c>
    </row>
    <row r="60" spans="1:18" ht="12.75">
      <c r="A60" s="1">
        <f>DATE(1951,9,1)</f>
        <v>18872</v>
      </c>
      <c r="B60">
        <v>1951</v>
      </c>
      <c r="C60">
        <v>9</v>
      </c>
      <c r="D60">
        <v>1.65</v>
      </c>
      <c r="F60" s="3">
        <f>DATE(1951,9,1)</f>
        <v>18872</v>
      </c>
      <c r="G60">
        <v>26.1</v>
      </c>
      <c r="H60">
        <v>26.03</v>
      </c>
      <c r="I60" s="2">
        <f t="shared" si="0"/>
        <v>1.0065738592420728</v>
      </c>
      <c r="J60" s="2">
        <f t="shared" si="1"/>
        <v>4.033711415020824</v>
      </c>
      <c r="N60" s="2">
        <v>0.06992229117656457</v>
      </c>
      <c r="P60" s="2">
        <f t="shared" si="2"/>
        <v>1.4482297821934553</v>
      </c>
      <c r="R60">
        <v>-0.025412756022725608</v>
      </c>
    </row>
    <row r="61" spans="1:18" ht="12.75">
      <c r="A61" s="1">
        <f>DATE(1951,10,1)</f>
        <v>18902</v>
      </c>
      <c r="B61">
        <v>1951</v>
      </c>
      <c r="C61">
        <v>10</v>
      </c>
      <c r="D61">
        <v>1.61</v>
      </c>
      <c r="F61" s="3">
        <f>DATE(1951,10,1)</f>
        <v>18902</v>
      </c>
      <c r="G61">
        <v>26.2</v>
      </c>
      <c r="H61">
        <v>26.16</v>
      </c>
      <c r="I61" s="2">
        <f t="shared" si="0"/>
        <v>1.0049942374183634</v>
      </c>
      <c r="J61" s="2">
        <f t="shared" si="1"/>
        <v>-6.073382965333918</v>
      </c>
      <c r="N61" s="2">
        <v>0.04488377423460132</v>
      </c>
      <c r="P61" s="2">
        <f t="shared" si="2"/>
        <v>-10.107094380354742</v>
      </c>
      <c r="R61">
        <v>0.05212815371449598</v>
      </c>
    </row>
    <row r="62" spans="1:18" ht="12.75">
      <c r="A62" s="1">
        <f>DATE(1951,11,1)</f>
        <v>18933</v>
      </c>
      <c r="B62">
        <v>1951</v>
      </c>
      <c r="C62">
        <v>11</v>
      </c>
      <c r="D62">
        <v>1.61</v>
      </c>
      <c r="F62" s="3">
        <f>DATE(1951,11,1)</f>
        <v>18933</v>
      </c>
      <c r="G62">
        <v>26.4</v>
      </c>
      <c r="H62">
        <v>26.32</v>
      </c>
      <c r="I62" s="2">
        <f t="shared" si="0"/>
        <v>1.0061162079510704</v>
      </c>
      <c r="J62" s="2">
        <f t="shared" si="1"/>
        <v>-4.286412884717761</v>
      </c>
      <c r="N62" s="2">
        <v>0.0456125259421919</v>
      </c>
      <c r="P62" s="2">
        <f t="shared" si="2"/>
        <v>1.7869700806161575</v>
      </c>
      <c r="R62">
        <v>-0.025579182503767676</v>
      </c>
    </row>
    <row r="63" spans="1:18" ht="12.75">
      <c r="A63" s="1">
        <f>DATE(1951,12,1)</f>
        <v>18963</v>
      </c>
      <c r="B63">
        <v>1951</v>
      </c>
      <c r="C63">
        <v>12</v>
      </c>
      <c r="D63">
        <v>1.73</v>
      </c>
      <c r="F63" s="3">
        <f>DATE(1951,12,1)</f>
        <v>18963</v>
      </c>
      <c r="G63">
        <v>26.5</v>
      </c>
      <c r="H63">
        <v>26.47</v>
      </c>
      <c r="I63" s="2">
        <f t="shared" si="0"/>
        <v>1.0056990881458967</v>
      </c>
      <c r="J63" s="2">
        <f t="shared" si="1"/>
        <v>-5.447873425205129</v>
      </c>
      <c r="N63" s="2">
        <v>0.021528613168831902</v>
      </c>
      <c r="P63" s="2">
        <f t="shared" si="2"/>
        <v>-1.1614605404873686</v>
      </c>
      <c r="R63">
        <v>0.024933054591083637</v>
      </c>
    </row>
    <row r="64" spans="1:18" ht="12.75">
      <c r="A64" s="1">
        <f>DATE(1952,1,1)</f>
        <v>18994</v>
      </c>
      <c r="B64">
        <v>1952</v>
      </c>
      <c r="C64">
        <v>1</v>
      </c>
      <c r="D64">
        <v>1.69</v>
      </c>
      <c r="F64" s="3">
        <f>DATE(1952,1,1)</f>
        <v>18994</v>
      </c>
      <c r="G64">
        <v>26.5</v>
      </c>
      <c r="H64">
        <v>26.45</v>
      </c>
      <c r="I64" s="2">
        <f t="shared" si="0"/>
        <v>0.9992444276539478</v>
      </c>
      <c r="J64" s="2">
        <f t="shared" si="1"/>
        <v>-5.0135687530227795</v>
      </c>
      <c r="N64" s="2">
        <v>0.008926722225983844</v>
      </c>
      <c r="P64" s="2">
        <f t="shared" si="2"/>
        <v>0.4343046721823498</v>
      </c>
      <c r="R64">
        <v>-0.011822049281229772</v>
      </c>
    </row>
    <row r="65" spans="1:18" ht="12.75">
      <c r="A65" s="1">
        <f>DATE(1952,2,1)</f>
        <v>19025</v>
      </c>
      <c r="B65">
        <v>1952</v>
      </c>
      <c r="C65">
        <v>2</v>
      </c>
      <c r="D65">
        <v>1.57</v>
      </c>
      <c r="F65" s="3">
        <f>DATE(1952,2,1)</f>
        <v>19025</v>
      </c>
      <c r="G65">
        <v>26.3</v>
      </c>
      <c r="H65">
        <v>26.41</v>
      </c>
      <c r="I65" s="2">
        <f t="shared" si="0"/>
        <v>0.9984877126654065</v>
      </c>
      <c r="J65" s="2">
        <f t="shared" si="1"/>
        <v>2.4954606409288926</v>
      </c>
      <c r="N65" s="2">
        <v>0.0007954097296123726</v>
      </c>
      <c r="P65" s="2">
        <f t="shared" si="2"/>
        <v>7.509029393951672</v>
      </c>
      <c r="R65">
        <v>0.002573457297790632</v>
      </c>
    </row>
    <row r="66" spans="1:18" ht="12.75">
      <c r="A66" s="1">
        <f>DATE(1952,3,1)</f>
        <v>19054</v>
      </c>
      <c r="B66">
        <v>1952</v>
      </c>
      <c r="C66">
        <v>3</v>
      </c>
      <c r="D66">
        <v>1.66</v>
      </c>
      <c r="F66" s="3">
        <f>DATE(1952,3,1)</f>
        <v>19054</v>
      </c>
      <c r="G66">
        <v>26.3</v>
      </c>
      <c r="H66">
        <v>26.39</v>
      </c>
      <c r="I66" s="2">
        <f t="shared" si="0"/>
        <v>0.9992427110942825</v>
      </c>
      <c r="J66" s="2">
        <f t="shared" si="1"/>
        <v>3.5231331018863443</v>
      </c>
      <c r="N66" s="2">
        <v>-0.00751176809791203</v>
      </c>
      <c r="P66" s="2">
        <f t="shared" si="2"/>
        <v>1.0276724609574517</v>
      </c>
      <c r="R66">
        <v>0.0011334152134455258</v>
      </c>
    </row>
    <row r="67" spans="1:18" ht="12.75">
      <c r="A67" s="1">
        <f>DATE(1952,4,1)</f>
        <v>19085</v>
      </c>
      <c r="B67">
        <v>1952</v>
      </c>
      <c r="C67">
        <v>4</v>
      </c>
      <c r="D67">
        <v>1.62</v>
      </c>
      <c r="F67" s="3">
        <f>DATE(1952,4,1)</f>
        <v>19085</v>
      </c>
      <c r="G67">
        <v>26.4</v>
      </c>
      <c r="H67">
        <v>26.46</v>
      </c>
      <c r="I67" s="2">
        <f t="shared" si="0"/>
        <v>1.0026525198938991</v>
      </c>
      <c r="J67" s="2">
        <f t="shared" si="1"/>
        <v>2.5480301536994654</v>
      </c>
      <c r="N67" s="2">
        <v>0.023537926766425264</v>
      </c>
      <c r="P67" s="2">
        <f t="shared" si="2"/>
        <v>-0.9751029481868789</v>
      </c>
      <c r="R67">
        <v>-0.0411707545007046</v>
      </c>
    </row>
    <row r="68" spans="1:18" ht="12.75">
      <c r="A68" s="1">
        <f>DATE(1952,5,1)</f>
        <v>19115</v>
      </c>
      <c r="B68">
        <v>1952</v>
      </c>
      <c r="C68">
        <v>5</v>
      </c>
      <c r="D68">
        <v>1.71</v>
      </c>
      <c r="F68" s="3">
        <f>DATE(1952,5,1)</f>
        <v>19115</v>
      </c>
      <c r="G68">
        <v>26.4</v>
      </c>
      <c r="H68">
        <v>26.47</v>
      </c>
      <c r="I68" s="2">
        <f t="shared" si="0"/>
        <v>1.0003779289493575</v>
      </c>
      <c r="J68" s="2">
        <f t="shared" si="1"/>
        <v>-1.4723195418959611</v>
      </c>
      <c r="N68" s="2">
        <v>0.035676884524615766</v>
      </c>
      <c r="P68" s="2">
        <f t="shared" si="2"/>
        <v>-4.020349695595426</v>
      </c>
      <c r="R68">
        <v>0.01520726568439648</v>
      </c>
    </row>
    <row r="69" spans="1:18" ht="12.75">
      <c r="A69" s="1">
        <f>DATE(1952,6,1)</f>
        <v>19146</v>
      </c>
      <c r="B69">
        <v>1952</v>
      </c>
      <c r="C69">
        <v>6</v>
      </c>
      <c r="D69">
        <v>1.7</v>
      </c>
      <c r="F69" s="3">
        <f>DATE(1952,6,1)</f>
        <v>19146</v>
      </c>
      <c r="G69">
        <v>26.5</v>
      </c>
      <c r="H69">
        <v>26.53</v>
      </c>
      <c r="I69" s="2">
        <f t="shared" si="0"/>
        <v>1.0022667170381565</v>
      </c>
      <c r="J69" s="2">
        <f t="shared" si="1"/>
        <v>1.2399065303334122</v>
      </c>
      <c r="N69" s="2">
        <v>0.03466675724716803</v>
      </c>
      <c r="P69" s="2">
        <f t="shared" si="2"/>
        <v>2.7122260722293734</v>
      </c>
      <c r="R69">
        <v>0.016412408466540945</v>
      </c>
    </row>
    <row r="70" spans="1:18" ht="12.75">
      <c r="A70" s="1">
        <f>DATE(1952,7,1)</f>
        <v>19176</v>
      </c>
      <c r="B70">
        <v>1952</v>
      </c>
      <c r="C70">
        <v>7</v>
      </c>
      <c r="D70">
        <v>1.82</v>
      </c>
      <c r="F70" s="3">
        <f>DATE(1952,7,1)</f>
        <v>19176</v>
      </c>
      <c r="G70">
        <v>26.7</v>
      </c>
      <c r="H70">
        <v>26.68</v>
      </c>
      <c r="I70" s="2">
        <f aca="true" t="shared" si="3" ref="I70:I133">H70/H69</f>
        <v>1.00565397663023</v>
      </c>
      <c r="J70" s="2">
        <f t="shared" si="1"/>
        <v>-0.9091877088014844</v>
      </c>
      <c r="N70" s="2">
        <v>0.043373230502892476</v>
      </c>
      <c r="P70" s="2">
        <f t="shared" si="2"/>
        <v>-2.1490942391348966</v>
      </c>
      <c r="R70">
        <v>-0.01212913403911267</v>
      </c>
    </row>
    <row r="71" spans="1:18" ht="12.75">
      <c r="A71" s="1">
        <f>DATE(1952,8,1)</f>
        <v>19207</v>
      </c>
      <c r="B71">
        <v>1952</v>
      </c>
      <c r="C71">
        <v>8</v>
      </c>
      <c r="D71">
        <v>1.88</v>
      </c>
      <c r="F71" s="3">
        <f>DATE(1952,8,1)</f>
        <v>19207</v>
      </c>
      <c r="G71">
        <v>26.7</v>
      </c>
      <c r="H71">
        <v>26.69</v>
      </c>
      <c r="I71" s="2">
        <f t="shared" si="3"/>
        <v>1.0003748125937033</v>
      </c>
      <c r="J71" s="2">
        <f aca="true" t="shared" si="4" ref="J71:J134">((1+D71/100)/(I70^12)-1)*100</f>
        <v>-4.784854994378174</v>
      </c>
      <c r="N71" s="2">
        <v>0.022087557396168224</v>
      </c>
      <c r="P71" s="2">
        <f t="shared" si="2"/>
        <v>-3.8756672855766894</v>
      </c>
      <c r="R71">
        <v>0.027301981999229917</v>
      </c>
    </row>
    <row r="72" spans="1:18" ht="12.75">
      <c r="A72" s="1">
        <f>DATE(1952,9,1)</f>
        <v>19238</v>
      </c>
      <c r="B72">
        <v>1952</v>
      </c>
      <c r="C72">
        <v>9</v>
      </c>
      <c r="D72">
        <v>1.79</v>
      </c>
      <c r="F72" s="3">
        <f>DATE(1952,9,1)</f>
        <v>19238</v>
      </c>
      <c r="G72">
        <v>26.7</v>
      </c>
      <c r="H72">
        <v>26.63</v>
      </c>
      <c r="I72" s="2">
        <f t="shared" si="3"/>
        <v>0.9977519670288497</v>
      </c>
      <c r="J72" s="2">
        <f t="shared" si="4"/>
        <v>1.3332873582094118</v>
      </c>
      <c r="N72" s="2">
        <v>0.0252688836688577</v>
      </c>
      <c r="P72" s="2">
        <f aca="true" t="shared" si="5" ref="P72:P135">J72-J71</f>
        <v>6.1181423525875855</v>
      </c>
      <c r="R72">
        <v>-0.019440131752062124</v>
      </c>
    </row>
    <row r="73" spans="1:18" ht="12.75">
      <c r="A73" s="1">
        <f>DATE(1952,10,1)</f>
        <v>19268</v>
      </c>
      <c r="B73">
        <v>1952</v>
      </c>
      <c r="C73">
        <v>10</v>
      </c>
      <c r="D73">
        <v>1.78</v>
      </c>
      <c r="F73" s="3">
        <f>DATE(1952,10,1)</f>
        <v>19268</v>
      </c>
      <c r="G73">
        <v>26.7</v>
      </c>
      <c r="H73">
        <v>26.69</v>
      </c>
      <c r="I73" s="2">
        <f t="shared" si="3"/>
        <v>1.0022530980097635</v>
      </c>
      <c r="J73" s="2">
        <f t="shared" si="4"/>
        <v>4.56620215320982</v>
      </c>
      <c r="N73" s="2">
        <v>0.03491982382445248</v>
      </c>
      <c r="P73" s="2">
        <f t="shared" si="5"/>
        <v>3.232914795000408</v>
      </c>
      <c r="R73">
        <v>-0.004314960813115382</v>
      </c>
    </row>
    <row r="74" spans="1:18" ht="12.75">
      <c r="A74" s="1">
        <f>DATE(1952,11,1)</f>
        <v>19299</v>
      </c>
      <c r="B74">
        <v>1952</v>
      </c>
      <c r="C74">
        <v>11</v>
      </c>
      <c r="D74">
        <v>1.86</v>
      </c>
      <c r="F74" s="3">
        <f>DATE(1952,11,1)</f>
        <v>19299</v>
      </c>
      <c r="G74">
        <v>26.7</v>
      </c>
      <c r="H74">
        <v>26.69</v>
      </c>
      <c r="I74" s="2">
        <f t="shared" si="3"/>
        <v>1</v>
      </c>
      <c r="J74" s="2">
        <f t="shared" si="4"/>
        <v>-0.8540944729935163</v>
      </c>
      <c r="N74" s="2">
        <v>0.054062605203065016</v>
      </c>
      <c r="P74" s="2">
        <f t="shared" si="5"/>
        <v>-5.420296626203336</v>
      </c>
      <c r="R74">
        <v>-0.01436915685283146</v>
      </c>
    </row>
    <row r="75" spans="1:18" ht="12.75">
      <c r="A75" s="1">
        <f>DATE(1952,12,1)</f>
        <v>19329</v>
      </c>
      <c r="B75">
        <v>1952</v>
      </c>
      <c r="C75">
        <v>12</v>
      </c>
      <c r="D75">
        <v>2.13</v>
      </c>
      <c r="F75" s="3">
        <f>DATE(1952,12,1)</f>
        <v>19329</v>
      </c>
      <c r="G75">
        <v>26.7</v>
      </c>
      <c r="H75">
        <v>26.71</v>
      </c>
      <c r="I75" s="2">
        <f t="shared" si="3"/>
        <v>1.0007493443237168</v>
      </c>
      <c r="J75" s="2">
        <f t="shared" si="4"/>
        <v>2.1300000000000097</v>
      </c>
      <c r="N75" s="2">
        <v>6.103971793183797E-05</v>
      </c>
      <c r="P75" s="2">
        <f t="shared" si="5"/>
        <v>2.984094472993526</v>
      </c>
      <c r="R75">
        <v>0.07960254628768826</v>
      </c>
    </row>
    <row r="76" spans="1:18" ht="12.75">
      <c r="A76" s="1">
        <f>DATE(1953,1,1)</f>
        <v>19360</v>
      </c>
      <c r="B76">
        <v>1953</v>
      </c>
      <c r="C76">
        <v>1</v>
      </c>
      <c r="D76">
        <v>2.04</v>
      </c>
      <c r="F76" s="3">
        <f>DATE(1953,1,1)</f>
        <v>19360</v>
      </c>
      <c r="G76">
        <v>26.6</v>
      </c>
      <c r="H76">
        <v>26.64</v>
      </c>
      <c r="I76" s="2">
        <f t="shared" si="3"/>
        <v>0.997379258704605</v>
      </c>
      <c r="J76" s="2">
        <f t="shared" si="4"/>
        <v>1.1268964583623475</v>
      </c>
      <c r="N76" s="2">
        <v>-0.007727086721233677</v>
      </c>
      <c r="P76" s="2">
        <f t="shared" si="5"/>
        <v>-1.0031035416376621</v>
      </c>
      <c r="R76">
        <v>-0.04915738954091031</v>
      </c>
    </row>
    <row r="77" spans="1:18" ht="12.75">
      <c r="A77" s="1">
        <f>DATE(1953,2,1)</f>
        <v>19391</v>
      </c>
      <c r="B77">
        <v>1953</v>
      </c>
      <c r="C77">
        <v>2</v>
      </c>
      <c r="D77">
        <v>2.02</v>
      </c>
      <c r="F77" s="3">
        <f>DATE(1953,2,1)</f>
        <v>19391</v>
      </c>
      <c r="G77">
        <v>26.5</v>
      </c>
      <c r="H77">
        <v>26.59</v>
      </c>
      <c r="I77" s="2">
        <f t="shared" si="3"/>
        <v>0.9981231231231231</v>
      </c>
      <c r="J77" s="2">
        <f t="shared" si="4"/>
        <v>5.283746172660764</v>
      </c>
      <c r="N77" s="2">
        <v>0.0297605789398356</v>
      </c>
      <c r="P77" s="2">
        <f t="shared" si="5"/>
        <v>4.156849714298416</v>
      </c>
      <c r="R77">
        <v>-0.043374813962880746</v>
      </c>
    </row>
    <row r="78" spans="1:18" ht="12.75">
      <c r="A78" s="1">
        <f>DATE(1953,3,1)</f>
        <v>19419</v>
      </c>
      <c r="B78">
        <v>1953</v>
      </c>
      <c r="C78">
        <v>3</v>
      </c>
      <c r="D78">
        <v>2.08</v>
      </c>
      <c r="F78" s="3">
        <f>DATE(1953,3,1)</f>
        <v>19419</v>
      </c>
      <c r="G78">
        <v>26.6</v>
      </c>
      <c r="H78">
        <v>26.63</v>
      </c>
      <c r="I78" s="2">
        <f t="shared" si="3"/>
        <v>1.0015043249341857</v>
      </c>
      <c r="J78" s="2">
        <f t="shared" si="4"/>
        <v>4.407394825669875</v>
      </c>
      <c r="N78" s="2">
        <v>0.012283227516688559</v>
      </c>
      <c r="P78" s="2">
        <f t="shared" si="5"/>
        <v>-0.876351346990889</v>
      </c>
      <c r="R78">
        <v>0.056136611150183625</v>
      </c>
    </row>
    <row r="79" spans="1:18" ht="12.75">
      <c r="A79" s="1">
        <f>DATE(1953,4,1)</f>
        <v>19450</v>
      </c>
      <c r="B79">
        <v>1953</v>
      </c>
      <c r="C79">
        <v>4</v>
      </c>
      <c r="D79">
        <v>2.18</v>
      </c>
      <c r="F79" s="3">
        <f>DATE(1953,4,1)</f>
        <v>19450</v>
      </c>
      <c r="G79">
        <v>26.6</v>
      </c>
      <c r="H79">
        <v>26.69</v>
      </c>
      <c r="I79" s="2">
        <f t="shared" si="3"/>
        <v>1.0022530980097635</v>
      </c>
      <c r="J79" s="2">
        <f t="shared" si="4"/>
        <v>0.3533671812594008</v>
      </c>
      <c r="N79" s="2">
        <v>-0.018706968843322392</v>
      </c>
      <c r="P79" s="2">
        <f t="shared" si="5"/>
        <v>-4.054027644410474</v>
      </c>
      <c r="R79">
        <v>0.009772233489414384</v>
      </c>
    </row>
    <row r="80" spans="1:18" ht="12.75">
      <c r="A80" s="1">
        <f>DATE(1953,5,1)</f>
        <v>19480</v>
      </c>
      <c r="B80">
        <v>1953</v>
      </c>
      <c r="C80">
        <v>5</v>
      </c>
      <c r="D80">
        <v>2.2</v>
      </c>
      <c r="F80" s="3">
        <f>DATE(1953,5,1)</f>
        <v>19480</v>
      </c>
      <c r="G80">
        <v>26.7</v>
      </c>
      <c r="H80">
        <v>26.7</v>
      </c>
      <c r="I80" s="2">
        <f t="shared" si="3"/>
        <v>1.0003746721618583</v>
      </c>
      <c r="J80" s="2">
        <f t="shared" si="4"/>
        <v>-0.5231538890627996</v>
      </c>
      <c r="N80" s="2">
        <v>-0.02385152320159537</v>
      </c>
      <c r="P80" s="2">
        <f t="shared" si="5"/>
        <v>-0.8765210703222004</v>
      </c>
      <c r="R80">
        <v>-0.02683940612908124</v>
      </c>
    </row>
    <row r="81" spans="1:18" ht="12.75">
      <c r="A81" s="1">
        <f>DATE(1953,6,1)</f>
        <v>19511</v>
      </c>
      <c r="B81">
        <v>1953</v>
      </c>
      <c r="C81">
        <v>6</v>
      </c>
      <c r="D81">
        <v>2.23</v>
      </c>
      <c r="F81" s="3">
        <f>DATE(1953,6,1)</f>
        <v>19511</v>
      </c>
      <c r="G81">
        <v>26.8</v>
      </c>
      <c r="H81">
        <v>26.77</v>
      </c>
      <c r="I81" s="2">
        <f t="shared" si="3"/>
        <v>1.002621722846442</v>
      </c>
      <c r="J81" s="2">
        <f t="shared" si="4"/>
        <v>1.7714845998189288</v>
      </c>
      <c r="N81" s="2">
        <v>-0.0018001722514131252</v>
      </c>
      <c r="P81" s="2">
        <f t="shared" si="5"/>
        <v>2.2946384888817284</v>
      </c>
      <c r="R81">
        <v>-0.02606095958582693</v>
      </c>
    </row>
    <row r="82" spans="1:18" ht="12.75">
      <c r="A82" s="1">
        <f>DATE(1953,7,1)</f>
        <v>19541</v>
      </c>
      <c r="B82">
        <v>1953</v>
      </c>
      <c r="C82">
        <v>7</v>
      </c>
      <c r="D82">
        <v>2.1</v>
      </c>
      <c r="F82" s="3">
        <f>DATE(1953,7,1)</f>
        <v>19541</v>
      </c>
      <c r="G82">
        <v>26.8</v>
      </c>
      <c r="H82">
        <v>26.79</v>
      </c>
      <c r="I82" s="2">
        <f t="shared" si="3"/>
        <v>1.000747104968248</v>
      </c>
      <c r="J82" s="2">
        <f t="shared" si="4"/>
        <v>-1.0580593858215415</v>
      </c>
      <c r="N82" s="2">
        <v>-0.01746136389474756</v>
      </c>
      <c r="P82" s="2">
        <f t="shared" si="5"/>
        <v>-2.8295439856404703</v>
      </c>
      <c r="R82">
        <v>0.03567602528773988</v>
      </c>
    </row>
    <row r="83" spans="1:18" ht="12.75">
      <c r="A83" s="1">
        <f>DATE(1953,8,1)</f>
        <v>19572</v>
      </c>
      <c r="B83">
        <v>1953</v>
      </c>
      <c r="C83">
        <v>8</v>
      </c>
      <c r="D83">
        <v>2.09</v>
      </c>
      <c r="F83" s="3">
        <f>DATE(1953,8,1)</f>
        <v>19572</v>
      </c>
      <c r="G83">
        <v>26.9</v>
      </c>
      <c r="H83">
        <v>26.85</v>
      </c>
      <c r="I83" s="2">
        <f t="shared" si="3"/>
        <v>1.002239641657335</v>
      </c>
      <c r="J83" s="2">
        <f t="shared" si="4"/>
        <v>1.1791658781550751</v>
      </c>
      <c r="N83" s="2">
        <v>-0.006771736558294966</v>
      </c>
      <c r="P83" s="2">
        <f t="shared" si="5"/>
        <v>2.2372252639766166</v>
      </c>
      <c r="R83">
        <v>-0.024526521541815845</v>
      </c>
    </row>
    <row r="84" spans="1:18" ht="12.75">
      <c r="A84" s="1">
        <f>DATE(1953,9,1)</f>
        <v>19603</v>
      </c>
      <c r="B84">
        <v>1953</v>
      </c>
      <c r="C84">
        <v>9</v>
      </c>
      <c r="D84">
        <v>1.88</v>
      </c>
      <c r="F84" s="3">
        <f>DATE(1953,9,1)</f>
        <v>19603</v>
      </c>
      <c r="G84">
        <v>26.9</v>
      </c>
      <c r="H84">
        <v>26.89</v>
      </c>
      <c r="I84" s="2">
        <f t="shared" si="3"/>
        <v>1.001489757914339</v>
      </c>
      <c r="J84" s="2">
        <f t="shared" si="4"/>
        <v>-0.818649132422733</v>
      </c>
      <c r="N84" s="2">
        <v>-0.03222041175465533</v>
      </c>
      <c r="P84" s="2">
        <f t="shared" si="5"/>
        <v>-1.997815010577808</v>
      </c>
      <c r="R84">
        <v>0.035914800172375506</v>
      </c>
    </row>
    <row r="85" spans="1:18" ht="12.75">
      <c r="A85" s="1">
        <f>DATE(1953,10,1)</f>
        <v>19633</v>
      </c>
      <c r="B85">
        <v>1953</v>
      </c>
      <c r="C85">
        <v>10</v>
      </c>
      <c r="D85">
        <v>1.4</v>
      </c>
      <c r="F85" s="3">
        <f>DATE(1953,10,1)</f>
        <v>19633</v>
      </c>
      <c r="G85">
        <v>27</v>
      </c>
      <c r="H85">
        <v>26.95</v>
      </c>
      <c r="I85" s="2">
        <f t="shared" si="3"/>
        <v>1.0022313127556712</v>
      </c>
      <c r="J85" s="2">
        <f t="shared" si="4"/>
        <v>-0.39530527764758405</v>
      </c>
      <c r="N85" s="2">
        <v>-0.02942021906320337</v>
      </c>
      <c r="P85" s="2">
        <f t="shared" si="5"/>
        <v>0.4233438547751489</v>
      </c>
      <c r="R85">
        <v>-0.02850308029287963</v>
      </c>
    </row>
    <row r="86" spans="1:18" ht="12.75">
      <c r="A86" s="1">
        <f>DATE(1953,11,1)</f>
        <v>19664</v>
      </c>
      <c r="B86">
        <v>1953</v>
      </c>
      <c r="C86">
        <v>11</v>
      </c>
      <c r="D86">
        <v>1.43</v>
      </c>
      <c r="F86" s="3">
        <f>DATE(1953,11,1)</f>
        <v>19664</v>
      </c>
      <c r="G86">
        <v>26.9</v>
      </c>
      <c r="H86">
        <v>26.85</v>
      </c>
      <c r="I86" s="2">
        <f t="shared" si="3"/>
        <v>0.9962894248608535</v>
      </c>
      <c r="J86" s="2">
        <f t="shared" si="4"/>
        <v>-1.2468817500751905</v>
      </c>
      <c r="N86" s="2">
        <v>-0.051646305523446547</v>
      </c>
      <c r="P86" s="2">
        <f t="shared" si="5"/>
        <v>-0.8515764724276065</v>
      </c>
      <c r="R86">
        <v>0.024285367979746585</v>
      </c>
    </row>
    <row r="87" spans="1:18" ht="12.75">
      <c r="A87" s="1">
        <f>DATE(1953,12,1)</f>
        <v>19694</v>
      </c>
      <c r="B87">
        <v>1953</v>
      </c>
      <c r="C87">
        <v>12</v>
      </c>
      <c r="D87">
        <v>1.63</v>
      </c>
      <c r="F87" s="3">
        <f>DATE(1953,12,1)</f>
        <v>19694</v>
      </c>
      <c r="G87">
        <v>26.9</v>
      </c>
      <c r="H87">
        <v>26.87</v>
      </c>
      <c r="I87" s="2">
        <f t="shared" si="3"/>
        <v>1.0007448789571693</v>
      </c>
      <c r="J87" s="2">
        <f t="shared" si="4"/>
        <v>6.2663293452741575</v>
      </c>
      <c r="N87" s="2">
        <v>-0.015083565011039692</v>
      </c>
      <c r="P87" s="2">
        <f t="shared" si="5"/>
        <v>7.513211095349348</v>
      </c>
      <c r="R87">
        <v>-0.053820699189569866</v>
      </c>
    </row>
    <row r="88" spans="1:18" ht="12.75">
      <c r="A88" s="1">
        <f>DATE(1954,1,1)</f>
        <v>19725</v>
      </c>
      <c r="B88">
        <v>1954</v>
      </c>
      <c r="C88">
        <v>1</v>
      </c>
      <c r="D88">
        <v>1.21</v>
      </c>
      <c r="F88" s="3">
        <f>DATE(1954,1,1)</f>
        <v>19725</v>
      </c>
      <c r="G88">
        <v>26.9</v>
      </c>
      <c r="H88">
        <v>26.94</v>
      </c>
      <c r="I88" s="2">
        <f t="shared" si="3"/>
        <v>1.0026051358392258</v>
      </c>
      <c r="J88" s="2">
        <f t="shared" si="4"/>
        <v>0.3096945800981965</v>
      </c>
      <c r="N88" s="2">
        <v>-0.03394755070885996</v>
      </c>
      <c r="P88" s="2">
        <f t="shared" si="5"/>
        <v>-5.956634765175961</v>
      </c>
      <c r="R88">
        <v>0.05178114014937694</v>
      </c>
    </row>
    <row r="89" spans="1:18" ht="12.75">
      <c r="A89" s="1">
        <f>DATE(1954,2,1)</f>
        <v>19756</v>
      </c>
      <c r="B89">
        <v>1954</v>
      </c>
      <c r="C89">
        <v>2</v>
      </c>
      <c r="D89">
        <v>0.98</v>
      </c>
      <c r="F89" s="3">
        <f>DATE(1954,2,1)</f>
        <v>19756</v>
      </c>
      <c r="G89">
        <v>26.9</v>
      </c>
      <c r="H89">
        <v>26.99</v>
      </c>
      <c r="I89" s="2">
        <f t="shared" si="3"/>
        <v>1.001855976243504</v>
      </c>
      <c r="J89" s="2">
        <f t="shared" si="4"/>
        <v>-2.123987687147999</v>
      </c>
      <c r="N89" s="2">
        <v>-0.021895469441333137</v>
      </c>
      <c r="P89" s="2">
        <f t="shared" si="5"/>
        <v>-2.4336822672461955</v>
      </c>
      <c r="R89">
        <v>-0.03465644119268582</v>
      </c>
    </row>
    <row r="90" spans="1:18" ht="12.75">
      <c r="A90" s="1">
        <f>DATE(1954,3,1)</f>
        <v>19784</v>
      </c>
      <c r="B90">
        <v>1954</v>
      </c>
      <c r="C90">
        <v>3</v>
      </c>
      <c r="D90">
        <v>1.05</v>
      </c>
      <c r="F90" s="3">
        <f>DATE(1954,3,1)</f>
        <v>19784</v>
      </c>
      <c r="G90">
        <v>26.9</v>
      </c>
      <c r="H90">
        <v>26.93</v>
      </c>
      <c r="I90" s="2">
        <f t="shared" si="3"/>
        <v>0.9977769544275659</v>
      </c>
      <c r="J90" s="2">
        <f t="shared" si="4"/>
        <v>-1.1736399516488305</v>
      </c>
      <c r="N90" s="2">
        <v>-0.05357924174951124</v>
      </c>
      <c r="P90" s="2">
        <f t="shared" si="5"/>
        <v>0.9503477354991685</v>
      </c>
      <c r="R90">
        <v>0.047050648755782014</v>
      </c>
    </row>
    <row r="91" spans="1:18" ht="12.75">
      <c r="A91" s="1">
        <f>DATE(1954,4,1)</f>
        <v>19815</v>
      </c>
      <c r="B91">
        <v>1954</v>
      </c>
      <c r="C91">
        <v>4</v>
      </c>
      <c r="D91">
        <v>1.01</v>
      </c>
      <c r="F91" s="3">
        <f>DATE(1954,4,1)</f>
        <v>19815</v>
      </c>
      <c r="G91">
        <v>26.8</v>
      </c>
      <c r="H91">
        <v>26.86</v>
      </c>
      <c r="I91" s="2">
        <f t="shared" si="3"/>
        <v>0.9974006683995544</v>
      </c>
      <c r="J91" s="2">
        <f t="shared" si="4"/>
        <v>3.743941717129884</v>
      </c>
      <c r="N91" s="2">
        <v>-0.03767812044667194</v>
      </c>
      <c r="P91" s="2">
        <f t="shared" si="5"/>
        <v>4.917581668778714</v>
      </c>
      <c r="R91">
        <v>-0.04458272157469658</v>
      </c>
    </row>
    <row r="92" spans="1:18" ht="12.75">
      <c r="A92" s="1">
        <f>DATE(1954,5,1)</f>
        <v>19845</v>
      </c>
      <c r="B92">
        <v>1954</v>
      </c>
      <c r="C92">
        <v>5</v>
      </c>
      <c r="D92">
        <v>0.78</v>
      </c>
      <c r="F92" s="3">
        <f>DATE(1954,5,1)</f>
        <v>19845</v>
      </c>
      <c r="G92">
        <v>26.9</v>
      </c>
      <c r="H92">
        <v>26.93</v>
      </c>
      <c r="I92" s="2">
        <f t="shared" si="3"/>
        <v>1.0026061057334326</v>
      </c>
      <c r="J92" s="2">
        <f t="shared" si="4"/>
        <v>3.977290216468088</v>
      </c>
      <c r="N92" s="2">
        <v>-0.050935325581333006</v>
      </c>
      <c r="P92" s="2">
        <f t="shared" si="5"/>
        <v>0.233348499338204</v>
      </c>
      <c r="R92">
        <v>0.02982582066552423</v>
      </c>
    </row>
    <row r="93" spans="1:18" ht="12.75">
      <c r="A93" s="1">
        <f>DATE(1954,6,1)</f>
        <v>19876</v>
      </c>
      <c r="B93">
        <v>1954</v>
      </c>
      <c r="C93">
        <v>6</v>
      </c>
      <c r="D93">
        <v>0.65</v>
      </c>
      <c r="F93" s="3">
        <f>DATE(1954,6,1)</f>
        <v>19876</v>
      </c>
      <c r="G93">
        <v>26.9</v>
      </c>
      <c r="H93">
        <v>26.94</v>
      </c>
      <c r="I93" s="2">
        <f t="shared" si="3"/>
        <v>1.000371333085778</v>
      </c>
      <c r="J93" s="2">
        <f t="shared" si="4"/>
        <v>-2.444976408959587</v>
      </c>
      <c r="N93" s="2">
        <v>-0.06360915031986883</v>
      </c>
      <c r="P93" s="2">
        <f t="shared" si="5"/>
        <v>-6.422266625427675</v>
      </c>
      <c r="R93">
        <v>-0.006383870848056378</v>
      </c>
    </row>
    <row r="94" spans="1:18" ht="12.75">
      <c r="A94" s="1">
        <f>DATE(1954,7,1)</f>
        <v>19906</v>
      </c>
      <c r="B94">
        <v>1954</v>
      </c>
      <c r="C94">
        <v>7</v>
      </c>
      <c r="D94">
        <v>0.71</v>
      </c>
      <c r="F94" s="3">
        <f>DATE(1954,7,1)</f>
        <v>19906</v>
      </c>
      <c r="G94">
        <v>26.9</v>
      </c>
      <c r="H94">
        <v>26.86</v>
      </c>
      <c r="I94" s="2">
        <f t="shared" si="3"/>
        <v>0.9970304380103934</v>
      </c>
      <c r="J94" s="2">
        <f t="shared" si="4"/>
        <v>0.2623178294679729</v>
      </c>
      <c r="N94" s="2">
        <v>-0.06230738266154161</v>
      </c>
      <c r="P94" s="2">
        <f t="shared" si="5"/>
        <v>2.70729423842756</v>
      </c>
      <c r="R94">
        <v>-0.011510365407818702</v>
      </c>
    </row>
    <row r="95" spans="1:18" ht="12.75">
      <c r="A95" s="1">
        <f>DATE(1954,8,1)</f>
        <v>19937</v>
      </c>
      <c r="B95">
        <v>1954</v>
      </c>
      <c r="C95">
        <v>8</v>
      </c>
      <c r="D95">
        <v>0.89</v>
      </c>
      <c r="F95" s="3">
        <f>DATE(1954,8,1)</f>
        <v>19937</v>
      </c>
      <c r="G95">
        <v>26.9</v>
      </c>
      <c r="H95">
        <v>26.85</v>
      </c>
      <c r="I95" s="2">
        <f t="shared" si="3"/>
        <v>0.9996276991809383</v>
      </c>
      <c r="J95" s="2">
        <f t="shared" si="4"/>
        <v>4.555556686495921</v>
      </c>
      <c r="N95" s="2">
        <v>-0.08590615127225759</v>
      </c>
      <c r="P95" s="2">
        <f t="shared" si="5"/>
        <v>4.293238857027948</v>
      </c>
      <c r="R95">
        <v>0.029132711586494425</v>
      </c>
    </row>
    <row r="96" spans="1:18" ht="12.75">
      <c r="A96" s="1">
        <f>DATE(1954,9,1)</f>
        <v>19968</v>
      </c>
      <c r="B96">
        <v>1954</v>
      </c>
      <c r="C96">
        <v>9</v>
      </c>
      <c r="D96">
        <v>1.01</v>
      </c>
      <c r="F96" s="3">
        <f>DATE(1954,9,1)</f>
        <v>19968</v>
      </c>
      <c r="G96">
        <v>26.8</v>
      </c>
      <c r="H96">
        <v>26.81</v>
      </c>
      <c r="I96" s="2">
        <f t="shared" si="3"/>
        <v>0.998510242085661</v>
      </c>
      <c r="J96" s="2">
        <f t="shared" si="4"/>
        <v>1.462367229953765</v>
      </c>
      <c r="N96" s="2">
        <v>-0.09460544357586068</v>
      </c>
      <c r="P96" s="2">
        <f t="shared" si="5"/>
        <v>-3.093189456542156</v>
      </c>
      <c r="R96">
        <v>-0.017934014609953978</v>
      </c>
    </row>
    <row r="97" spans="1:18" ht="12.75">
      <c r="A97" s="1">
        <f>DATE(1954,10,1)</f>
        <v>19998</v>
      </c>
      <c r="B97">
        <v>1954</v>
      </c>
      <c r="C97">
        <v>10</v>
      </c>
      <c r="D97">
        <v>0.99</v>
      </c>
      <c r="F97" s="3">
        <f>DATE(1954,10,1)</f>
        <v>19998</v>
      </c>
      <c r="G97">
        <v>26.8</v>
      </c>
      <c r="H97">
        <v>26.72</v>
      </c>
      <c r="I97" s="2">
        <f t="shared" si="3"/>
        <v>0.9966430436404327</v>
      </c>
      <c r="J97" s="2">
        <f t="shared" si="4"/>
        <v>2.8130125794577854</v>
      </c>
      <c r="N97" s="2">
        <v>-0.08209051300375737</v>
      </c>
      <c r="P97" s="2">
        <f t="shared" si="5"/>
        <v>1.3506453495040205</v>
      </c>
      <c r="R97">
        <v>-0.020266302177072884</v>
      </c>
    </row>
    <row r="98" spans="1:18" ht="12.75">
      <c r="A98" s="1">
        <f>DATE(1954,11,1)</f>
        <v>20029</v>
      </c>
      <c r="B98">
        <v>1954</v>
      </c>
      <c r="C98">
        <v>11</v>
      </c>
      <c r="D98">
        <v>0.95</v>
      </c>
      <c r="F98" s="3">
        <f>DATE(1954,11,1)</f>
        <v>20029</v>
      </c>
      <c r="G98">
        <v>26.8</v>
      </c>
      <c r="H98">
        <v>26.78</v>
      </c>
      <c r="I98" s="2">
        <f t="shared" si="3"/>
        <v>1.002245508982036</v>
      </c>
      <c r="J98" s="2">
        <f t="shared" si="4"/>
        <v>5.106759180368203</v>
      </c>
      <c r="N98" s="2">
        <v>-0.07178383373730687</v>
      </c>
      <c r="P98" s="2">
        <f t="shared" si="5"/>
        <v>2.293746600910418</v>
      </c>
      <c r="R98">
        <v>0.003800900412789849</v>
      </c>
    </row>
    <row r="99" spans="1:18" ht="12.75">
      <c r="A99" s="1">
        <f>DATE(1954,12,1)</f>
        <v>20059</v>
      </c>
      <c r="B99">
        <v>1954</v>
      </c>
      <c r="C99">
        <v>12</v>
      </c>
      <c r="D99">
        <v>1.17</v>
      </c>
      <c r="F99" s="3">
        <f>DATE(1954,12,1)</f>
        <v>20059</v>
      </c>
      <c r="G99">
        <v>26.7</v>
      </c>
      <c r="H99">
        <v>26.77</v>
      </c>
      <c r="I99" s="2">
        <f t="shared" si="3"/>
        <v>0.9996265870052278</v>
      </c>
      <c r="J99" s="2">
        <f t="shared" si="4"/>
        <v>-1.5167610176681667</v>
      </c>
      <c r="N99" s="2">
        <v>-0.07229426407841083</v>
      </c>
      <c r="P99" s="2">
        <f t="shared" si="5"/>
        <v>-6.6235201980363705</v>
      </c>
      <c r="R99">
        <v>0.005022636661358125</v>
      </c>
    </row>
    <row r="100" spans="1:18" ht="12.75">
      <c r="A100" s="1">
        <f>DATE(1955,1,1)</f>
        <v>20090</v>
      </c>
      <c r="B100">
        <v>1955</v>
      </c>
      <c r="C100">
        <v>1</v>
      </c>
      <c r="D100">
        <v>1.26</v>
      </c>
      <c r="F100" s="3">
        <f>DATE(1955,1,1)</f>
        <v>20090</v>
      </c>
      <c r="G100">
        <v>26.7</v>
      </c>
      <c r="H100">
        <v>26.77</v>
      </c>
      <c r="I100" s="2">
        <f t="shared" si="3"/>
        <v>1</v>
      </c>
      <c r="J100" s="2">
        <f t="shared" si="4"/>
        <v>1.7148448346010925</v>
      </c>
      <c r="N100" s="2">
        <v>-0.08310827341617368</v>
      </c>
      <c r="P100" s="2">
        <f t="shared" si="5"/>
        <v>3.2316058522692592</v>
      </c>
      <c r="R100">
        <v>0.013924754605813931</v>
      </c>
    </row>
    <row r="101" spans="1:18" ht="12.75">
      <c r="A101" s="1">
        <f>DATE(1955,2,1)</f>
        <v>20121</v>
      </c>
      <c r="B101">
        <v>1955</v>
      </c>
      <c r="C101">
        <v>2</v>
      </c>
      <c r="D101">
        <v>1.18</v>
      </c>
      <c r="F101" s="3">
        <f>DATE(1955,2,1)</f>
        <v>20121</v>
      </c>
      <c r="G101">
        <v>26.7</v>
      </c>
      <c r="H101">
        <v>26.82</v>
      </c>
      <c r="I101" s="2">
        <f t="shared" si="3"/>
        <v>1.00186776242062</v>
      </c>
      <c r="J101" s="2">
        <f t="shared" si="4"/>
        <v>1.1800000000000033</v>
      </c>
      <c r="N101" s="2">
        <v>-0.09842874528715802</v>
      </c>
      <c r="P101" s="2">
        <f t="shared" si="5"/>
        <v>-0.5348448346010892</v>
      </c>
      <c r="R101">
        <v>0.004148362418151603</v>
      </c>
    </row>
    <row r="102" spans="1:18" ht="12.75">
      <c r="A102" s="1">
        <f>DATE(1955,3,1)</f>
        <v>20149</v>
      </c>
      <c r="B102">
        <v>1955</v>
      </c>
      <c r="C102">
        <v>3</v>
      </c>
      <c r="D102">
        <v>1.33</v>
      </c>
      <c r="F102" s="3">
        <f>DATE(1955,3,1)</f>
        <v>20149</v>
      </c>
      <c r="G102">
        <v>26.7</v>
      </c>
      <c r="H102">
        <v>26.79</v>
      </c>
      <c r="I102" s="2">
        <f t="shared" si="3"/>
        <v>0.9988814317673378</v>
      </c>
      <c r="J102" s="2">
        <f t="shared" si="4"/>
        <v>-0.9137905625163589</v>
      </c>
      <c r="N102" s="2">
        <v>-0.0976144221938017</v>
      </c>
      <c r="P102" s="2">
        <f t="shared" si="5"/>
        <v>-2.093790562516362</v>
      </c>
      <c r="R102">
        <v>-0.019092553123159786</v>
      </c>
    </row>
    <row r="103" spans="1:18" ht="12.75">
      <c r="A103" s="1">
        <f>DATE(1955,4,1)</f>
        <v>20180</v>
      </c>
      <c r="B103">
        <v>1955</v>
      </c>
      <c r="C103">
        <v>4</v>
      </c>
      <c r="D103">
        <v>1.62</v>
      </c>
      <c r="F103" s="3">
        <f>DATE(1955,4,1)</f>
        <v>20180</v>
      </c>
      <c r="G103">
        <v>26.7</v>
      </c>
      <c r="H103">
        <v>26.79</v>
      </c>
      <c r="I103" s="2">
        <f t="shared" si="3"/>
        <v>1</v>
      </c>
      <c r="J103" s="2">
        <f t="shared" si="4"/>
        <v>2.993996253495923</v>
      </c>
      <c r="N103" s="2">
        <v>-0.09515287069604271</v>
      </c>
      <c r="P103" s="2">
        <f t="shared" si="5"/>
        <v>3.907786816012282</v>
      </c>
      <c r="R103">
        <v>0.0019467744338798427</v>
      </c>
    </row>
    <row r="104" spans="1:18" ht="12.75">
      <c r="A104" s="1">
        <f>DATE(1955,5,1)</f>
        <v>20210</v>
      </c>
      <c r="B104">
        <v>1955</v>
      </c>
      <c r="C104">
        <v>5</v>
      </c>
      <c r="D104">
        <v>1.49</v>
      </c>
      <c r="F104" s="3">
        <f>DATE(1955,5,1)</f>
        <v>20210</v>
      </c>
      <c r="G104">
        <v>26.7</v>
      </c>
      <c r="H104">
        <v>26.77</v>
      </c>
      <c r="I104" s="2">
        <f t="shared" si="3"/>
        <v>0.9992534527808884</v>
      </c>
      <c r="J104" s="2">
        <f t="shared" si="4"/>
        <v>1.4899999999999913</v>
      </c>
      <c r="N104" s="2">
        <v>-0.07206769496291335</v>
      </c>
      <c r="P104" s="2">
        <f t="shared" si="5"/>
        <v>-1.5039962534959317</v>
      </c>
      <c r="R104">
        <v>-0.022378697542168646</v>
      </c>
    </row>
    <row r="105" spans="1:18" ht="12.75">
      <c r="A105" s="1">
        <f>DATE(1955,6,1)</f>
        <v>20241</v>
      </c>
      <c r="B105">
        <v>1955</v>
      </c>
      <c r="C105">
        <v>6</v>
      </c>
      <c r="D105">
        <v>1.43</v>
      </c>
      <c r="F105" s="3">
        <f>DATE(1955,6,1)</f>
        <v>20241</v>
      </c>
      <c r="G105">
        <v>26.7</v>
      </c>
      <c r="H105">
        <v>26.71</v>
      </c>
      <c r="I105" s="2">
        <f t="shared" si="3"/>
        <v>0.9977586850952559</v>
      </c>
      <c r="J105" s="2">
        <f t="shared" si="4"/>
        <v>2.343092178383843</v>
      </c>
      <c r="N105" s="2">
        <v>-0.06182329385813922</v>
      </c>
      <c r="P105" s="2">
        <f t="shared" si="5"/>
        <v>0.8530921783838519</v>
      </c>
      <c r="R105">
        <v>0.01357705167308917</v>
      </c>
    </row>
    <row r="106" spans="1:18" ht="12.75">
      <c r="A106" s="1">
        <f>DATE(1955,7,1)</f>
        <v>20271</v>
      </c>
      <c r="B106">
        <v>1955</v>
      </c>
      <c r="C106">
        <v>7</v>
      </c>
      <c r="D106">
        <v>1.62</v>
      </c>
      <c r="F106" s="3">
        <f>DATE(1955,7,1)</f>
        <v>20271</v>
      </c>
      <c r="G106">
        <v>26.8</v>
      </c>
      <c r="H106">
        <v>26.76</v>
      </c>
      <c r="I106" s="2">
        <f t="shared" si="3"/>
        <v>1.0018719580681392</v>
      </c>
      <c r="J106" s="2">
        <f t="shared" si="4"/>
        <v>4.393387058446874</v>
      </c>
      <c r="N106" s="2">
        <v>-0.07706774307876635</v>
      </c>
      <c r="P106" s="2">
        <f t="shared" si="5"/>
        <v>2.0502948800630305</v>
      </c>
      <c r="R106">
        <v>0.02795440914153025</v>
      </c>
    </row>
    <row r="107" spans="1:18" ht="12.75">
      <c r="A107" s="1">
        <f>DATE(1955,8,1)</f>
        <v>20302</v>
      </c>
      <c r="B107">
        <v>1955</v>
      </c>
      <c r="C107">
        <v>8</v>
      </c>
      <c r="D107">
        <v>1.88</v>
      </c>
      <c r="F107" s="3">
        <f>DATE(1955,8,1)</f>
        <v>20302</v>
      </c>
      <c r="G107">
        <v>26.8</v>
      </c>
      <c r="H107">
        <v>26.72</v>
      </c>
      <c r="I107" s="2">
        <f t="shared" si="3"/>
        <v>0.9985052316890881</v>
      </c>
      <c r="J107" s="2">
        <f t="shared" si="4"/>
        <v>-0.3809757922259127</v>
      </c>
      <c r="N107" s="2">
        <v>-0.05000698518218478</v>
      </c>
      <c r="P107" s="2">
        <f t="shared" si="5"/>
        <v>-4.774362850672786</v>
      </c>
      <c r="R107">
        <v>-0.04766530358467174</v>
      </c>
    </row>
    <row r="108" spans="1:18" ht="12.75">
      <c r="A108" s="1">
        <f>DATE(1955,9,1)</f>
        <v>20333</v>
      </c>
      <c r="B108">
        <v>1955</v>
      </c>
      <c r="C108">
        <v>9</v>
      </c>
      <c r="D108">
        <v>2.09</v>
      </c>
      <c r="F108" s="3">
        <f>DATE(1955,9,1)</f>
        <v>20333</v>
      </c>
      <c r="G108">
        <v>26.9</v>
      </c>
      <c r="H108">
        <v>26.85</v>
      </c>
      <c r="I108" s="2">
        <f t="shared" si="3"/>
        <v>1.004865269461078</v>
      </c>
      <c r="J108" s="2">
        <f t="shared" si="4"/>
        <v>3.939127604019843</v>
      </c>
      <c r="N108" s="2">
        <v>-0.061341791230566475</v>
      </c>
      <c r="P108" s="2">
        <f t="shared" si="5"/>
        <v>4.320103396245756</v>
      </c>
      <c r="R108">
        <v>0.04436875837027533</v>
      </c>
    </row>
    <row r="109" spans="1:18" ht="12.75">
      <c r="A109" s="1">
        <f>DATE(1955,10,1)</f>
        <v>20363</v>
      </c>
      <c r="B109">
        <v>1955</v>
      </c>
      <c r="C109">
        <v>10</v>
      </c>
      <c r="D109">
        <v>2.26</v>
      </c>
      <c r="F109" s="3">
        <f>DATE(1955,10,1)</f>
        <v>20363</v>
      </c>
      <c r="G109">
        <v>26.9</v>
      </c>
      <c r="H109">
        <v>26.82</v>
      </c>
      <c r="I109" s="2">
        <f t="shared" si="3"/>
        <v>0.9988826815642458</v>
      </c>
      <c r="J109" s="2">
        <f t="shared" si="4"/>
        <v>-3.5256738956823797</v>
      </c>
      <c r="N109" s="2">
        <v>-0.060274395667733904</v>
      </c>
      <c r="P109" s="2">
        <f t="shared" si="5"/>
        <v>-7.464801499702222</v>
      </c>
      <c r="R109">
        <v>-0.021012184489130795</v>
      </c>
    </row>
    <row r="110" spans="1:18" ht="12.75">
      <c r="A110" s="1">
        <f>DATE(1955,11,1)</f>
        <v>20394</v>
      </c>
      <c r="B110">
        <v>1955</v>
      </c>
      <c r="C110">
        <v>11</v>
      </c>
      <c r="D110">
        <v>2.22</v>
      </c>
      <c r="F110" s="3">
        <f>DATE(1955,11,1)</f>
        <v>20394</v>
      </c>
      <c r="G110">
        <v>26.9</v>
      </c>
      <c r="H110">
        <v>26.88</v>
      </c>
      <c r="I110" s="2">
        <f t="shared" si="3"/>
        <v>1.0022371364653244</v>
      </c>
      <c r="J110" s="2">
        <f t="shared" si="4"/>
        <v>3.600553301193199</v>
      </c>
      <c r="N110" s="2">
        <v>-0.07770933114454558</v>
      </c>
      <c r="P110" s="2">
        <f t="shared" si="5"/>
        <v>7.126227196875579</v>
      </c>
      <c r="R110">
        <v>0.02627437909533332</v>
      </c>
    </row>
    <row r="111" spans="1:18" ht="12.75">
      <c r="A111" s="1">
        <f>DATE(1955,12,1)</f>
        <v>20424</v>
      </c>
      <c r="B111">
        <v>1955</v>
      </c>
      <c r="C111">
        <v>12</v>
      </c>
      <c r="D111">
        <v>2.56</v>
      </c>
      <c r="F111" s="3">
        <f>DATE(1955,12,1)</f>
        <v>20424</v>
      </c>
      <c r="G111">
        <v>26.8</v>
      </c>
      <c r="H111">
        <v>26.87</v>
      </c>
      <c r="I111" s="2">
        <f t="shared" si="3"/>
        <v>0.9996279761904763</v>
      </c>
      <c r="J111" s="2">
        <f t="shared" si="4"/>
        <v>-0.15366645528306355</v>
      </c>
      <c r="N111" s="2">
        <v>-0.07981602345697758</v>
      </c>
      <c r="P111" s="2">
        <f t="shared" si="5"/>
        <v>-3.7542197564762625</v>
      </c>
      <c r="R111">
        <v>-0.01949815468353751</v>
      </c>
    </row>
    <row r="112" spans="1:18" ht="12.75">
      <c r="A112" s="1">
        <f>DATE(1956,1,1)</f>
        <v>20455</v>
      </c>
      <c r="B112">
        <v>1956</v>
      </c>
      <c r="C112">
        <v>1</v>
      </c>
      <c r="D112">
        <v>2.46</v>
      </c>
      <c r="F112" s="3">
        <f>DATE(1956,1,1)</f>
        <v>20455</v>
      </c>
      <c r="G112">
        <v>26.8</v>
      </c>
      <c r="H112">
        <v>26.83</v>
      </c>
      <c r="I112" s="2">
        <f t="shared" si="3"/>
        <v>0.9985113509490137</v>
      </c>
      <c r="J112" s="2">
        <f t="shared" si="4"/>
        <v>2.9185187271596247</v>
      </c>
      <c r="N112" s="2">
        <v>-0.07662933536405771</v>
      </c>
      <c r="P112" s="2">
        <f t="shared" si="5"/>
        <v>3.0721851824426882</v>
      </c>
      <c r="R112">
        <v>-0.0031973490149341277</v>
      </c>
    </row>
    <row r="113" spans="1:18" ht="12.75">
      <c r="A113" s="1">
        <f>DATE(1956,2,1)</f>
        <v>20486</v>
      </c>
      <c r="B113">
        <v>1956</v>
      </c>
      <c r="C113">
        <v>2</v>
      </c>
      <c r="D113">
        <v>2.37</v>
      </c>
      <c r="F113" s="3">
        <f>DATE(1956,2,1)</f>
        <v>20486</v>
      </c>
      <c r="G113">
        <v>26.8</v>
      </c>
      <c r="H113">
        <v>26.86</v>
      </c>
      <c r="I113" s="2">
        <f t="shared" si="3"/>
        <v>1.0011181513231457</v>
      </c>
      <c r="J113" s="2">
        <f t="shared" si="4"/>
        <v>4.216534714369313</v>
      </c>
      <c r="N113" s="2">
        <v>-0.08160760953847017</v>
      </c>
      <c r="P113" s="2">
        <f t="shared" si="5"/>
        <v>1.2980159872096886</v>
      </c>
      <c r="R113">
        <v>0.010167928206488066</v>
      </c>
    </row>
    <row r="114" spans="1:18" ht="12.75">
      <c r="A114" s="1">
        <f>DATE(1956,3,1)</f>
        <v>20515</v>
      </c>
      <c r="B114">
        <v>1956</v>
      </c>
      <c r="C114">
        <v>3</v>
      </c>
      <c r="D114">
        <v>2.31</v>
      </c>
      <c r="F114" s="3">
        <f>DATE(1956,3,1)</f>
        <v>20515</v>
      </c>
      <c r="G114">
        <v>26.8</v>
      </c>
      <c r="H114">
        <v>26.89</v>
      </c>
      <c r="I114" s="2">
        <f t="shared" si="3"/>
        <v>1.0011169024571855</v>
      </c>
      <c r="J114" s="2">
        <f t="shared" si="4"/>
        <v>0.9471487318758465</v>
      </c>
      <c r="N114" s="2">
        <v>-0.06254738799950152</v>
      </c>
      <c r="P114" s="2">
        <f t="shared" si="5"/>
        <v>-3.269385982493467</v>
      </c>
      <c r="R114">
        <v>-0.027781103630763266</v>
      </c>
    </row>
    <row r="115" spans="1:18" ht="12.75">
      <c r="A115" s="1">
        <f>DATE(1956,4,1)</f>
        <v>20546</v>
      </c>
      <c r="B115">
        <v>1956</v>
      </c>
      <c r="C115">
        <v>4</v>
      </c>
      <c r="D115">
        <v>2.61</v>
      </c>
      <c r="F115" s="3">
        <f>DATE(1956,4,1)</f>
        <v>20546</v>
      </c>
      <c r="G115">
        <v>26.9</v>
      </c>
      <c r="H115">
        <v>26.93</v>
      </c>
      <c r="I115" s="2">
        <f t="shared" si="3"/>
        <v>1.001487541837114</v>
      </c>
      <c r="J115" s="2">
        <f t="shared" si="4"/>
        <v>1.2446680783996689</v>
      </c>
      <c r="N115" s="2">
        <v>-0.05827546730660241</v>
      </c>
      <c r="P115" s="2">
        <f t="shared" si="5"/>
        <v>0.2975193465238224</v>
      </c>
      <c r="R115">
        <v>0.015149280415201862</v>
      </c>
    </row>
    <row r="116" spans="1:18" ht="12.75">
      <c r="A116" s="1">
        <f>DATE(1956,5,1)</f>
        <v>20576</v>
      </c>
      <c r="B116">
        <v>1956</v>
      </c>
      <c r="C116">
        <v>5</v>
      </c>
      <c r="D116">
        <v>2.65</v>
      </c>
      <c r="F116" s="3">
        <f>DATE(1956,5,1)</f>
        <v>20576</v>
      </c>
      <c r="G116">
        <v>27</v>
      </c>
      <c r="H116">
        <v>27.03</v>
      </c>
      <c r="I116" s="2">
        <f t="shared" si="3"/>
        <v>1.0037133308577795</v>
      </c>
      <c r="J116" s="2">
        <f t="shared" si="4"/>
        <v>0.835240729766018</v>
      </c>
      <c r="N116" s="2">
        <v>-0.03608790659255625</v>
      </c>
      <c r="P116" s="2">
        <f t="shared" si="5"/>
        <v>-0.4094273486336508</v>
      </c>
      <c r="R116">
        <v>-0.01985968825863112</v>
      </c>
    </row>
    <row r="117" spans="1:18" ht="12.75">
      <c r="A117" s="1">
        <f>DATE(1956,6,1)</f>
        <v>20607</v>
      </c>
      <c r="B117">
        <v>1956</v>
      </c>
      <c r="C117">
        <v>6</v>
      </c>
      <c r="D117">
        <v>2.53</v>
      </c>
      <c r="F117" s="3">
        <f>DATE(1956,6,1)</f>
        <v>20607</v>
      </c>
      <c r="G117">
        <v>27.2</v>
      </c>
      <c r="H117">
        <v>27.15</v>
      </c>
      <c r="I117" s="2">
        <f t="shared" si="3"/>
        <v>1.004439511653718</v>
      </c>
      <c r="J117" s="2">
        <f t="shared" si="4"/>
        <v>-1.9303444506967304</v>
      </c>
      <c r="N117" s="2">
        <v>-0.05916223846361738</v>
      </c>
      <c r="P117" s="2">
        <f t="shared" si="5"/>
        <v>-2.7655851804627485</v>
      </c>
      <c r="R117">
        <v>0.04464707217692017</v>
      </c>
    </row>
    <row r="118" spans="1:18" ht="12.75">
      <c r="A118" s="1">
        <f>DATE(1956,7,1)</f>
        <v>20637</v>
      </c>
      <c r="B118">
        <v>1956</v>
      </c>
      <c r="C118">
        <v>7</v>
      </c>
      <c r="D118">
        <v>2.33</v>
      </c>
      <c r="F118" s="3">
        <f>DATE(1956,7,1)</f>
        <v>20637</v>
      </c>
      <c r="G118">
        <v>27.4</v>
      </c>
      <c r="H118">
        <v>27.29</v>
      </c>
      <c r="I118" s="2">
        <f t="shared" si="3"/>
        <v>1.0051565377532228</v>
      </c>
      <c r="J118" s="2">
        <f t="shared" si="4"/>
        <v>-2.9674342054349268</v>
      </c>
      <c r="N118" s="2">
        <v>-0.05053829430165064</v>
      </c>
      <c r="P118" s="2">
        <f t="shared" si="5"/>
        <v>-1.0370897547381963</v>
      </c>
      <c r="R118">
        <v>-0.03287661639554038</v>
      </c>
    </row>
    <row r="119" spans="1:18" ht="12.75">
      <c r="A119" s="1">
        <f>DATE(1956,8,1)</f>
        <v>20668</v>
      </c>
      <c r="B119">
        <v>1956</v>
      </c>
      <c r="C119">
        <v>8</v>
      </c>
      <c r="D119">
        <v>2.61</v>
      </c>
      <c r="F119" s="3">
        <f>DATE(1956,8,1)</f>
        <v>20668</v>
      </c>
      <c r="G119">
        <v>27.3</v>
      </c>
      <c r="H119">
        <v>27.31</v>
      </c>
      <c r="I119" s="2">
        <f t="shared" si="3"/>
        <v>1.0007328691828508</v>
      </c>
      <c r="J119" s="2">
        <f t="shared" si="4"/>
        <v>-3.5315575333902838</v>
      </c>
      <c r="N119" s="2">
        <v>-0.07922325675138926</v>
      </c>
      <c r="P119" s="2">
        <f t="shared" si="5"/>
        <v>-0.564123327955357</v>
      </c>
      <c r="R119">
        <v>0.03814569158295585</v>
      </c>
    </row>
    <row r="120" spans="1:18" ht="12.75">
      <c r="A120" s="1">
        <f>DATE(1956,9,1)</f>
        <v>20699</v>
      </c>
      <c r="B120">
        <v>1956</v>
      </c>
      <c r="C120">
        <v>9</v>
      </c>
      <c r="D120">
        <v>2.85</v>
      </c>
      <c r="F120" s="3">
        <f>DATE(1956,9,1)</f>
        <v>20699</v>
      </c>
      <c r="G120">
        <v>27.4</v>
      </c>
      <c r="H120">
        <v>27.35</v>
      </c>
      <c r="I120" s="2">
        <f t="shared" si="3"/>
        <v>1.0014646649578909</v>
      </c>
      <c r="J120" s="2">
        <f t="shared" si="4"/>
        <v>1.9497869139266655</v>
      </c>
      <c r="N120" s="2">
        <v>-0.040246307902922565</v>
      </c>
      <c r="P120" s="2">
        <f t="shared" si="5"/>
        <v>5.48134444731695</v>
      </c>
      <c r="R120">
        <v>-0.06588694251016608</v>
      </c>
    </row>
    <row r="121" spans="1:18" ht="12.75">
      <c r="A121" s="1">
        <f>DATE(1956,10,1)</f>
        <v>20729</v>
      </c>
      <c r="B121">
        <v>1956</v>
      </c>
      <c r="C121">
        <v>10</v>
      </c>
      <c r="D121">
        <v>2.96</v>
      </c>
      <c r="F121" s="3">
        <f>DATE(1956,10,1)</f>
        <v>20729</v>
      </c>
      <c r="G121">
        <v>27.5</v>
      </c>
      <c r="H121">
        <v>27.51</v>
      </c>
      <c r="I121" s="2">
        <f t="shared" si="3"/>
        <v>1.0058500914076782</v>
      </c>
      <c r="J121" s="2">
        <f t="shared" si="4"/>
        <v>1.1674882311393242</v>
      </c>
      <c r="N121" s="2">
        <v>-0.033955936765044874</v>
      </c>
      <c r="P121" s="2">
        <f t="shared" si="5"/>
        <v>-0.7822986827873413</v>
      </c>
      <c r="R121">
        <v>0.034754096261066784</v>
      </c>
    </row>
    <row r="122" spans="1:18" ht="12.75">
      <c r="A122" s="1">
        <f>DATE(1956,11,1)</f>
        <v>20760</v>
      </c>
      <c r="B122">
        <v>1956</v>
      </c>
      <c r="C122">
        <v>11</v>
      </c>
      <c r="D122">
        <v>3</v>
      </c>
      <c r="F122" s="3">
        <f>DATE(1956,11,1)</f>
        <v>20760</v>
      </c>
      <c r="G122">
        <v>27.5</v>
      </c>
      <c r="H122">
        <v>27.51</v>
      </c>
      <c r="I122" s="2">
        <f t="shared" si="3"/>
        <v>1</v>
      </c>
      <c r="J122" s="2">
        <f t="shared" si="4"/>
        <v>-3.963105493979846</v>
      </c>
      <c r="N122" s="2">
        <v>-0.039002386623194475</v>
      </c>
      <c r="P122" s="2">
        <f t="shared" si="5"/>
        <v>-5.13059372511917</v>
      </c>
      <c r="R122">
        <v>0.006971864355819231</v>
      </c>
    </row>
    <row r="123" spans="1:18" ht="12.75">
      <c r="A123" s="1">
        <f>DATE(1956,12,1)</f>
        <v>20790</v>
      </c>
      <c r="B123">
        <v>1956</v>
      </c>
      <c r="C123">
        <v>12</v>
      </c>
      <c r="D123">
        <v>3.23</v>
      </c>
      <c r="F123" s="3">
        <f>DATE(1956,12,1)</f>
        <v>20790</v>
      </c>
      <c r="G123">
        <v>27.6</v>
      </c>
      <c r="H123">
        <v>27.63</v>
      </c>
      <c r="I123" s="2">
        <f t="shared" si="3"/>
        <v>1.0043620501635768</v>
      </c>
      <c r="J123" s="2">
        <f t="shared" si="4"/>
        <v>3.2299999999999995</v>
      </c>
      <c r="N123" s="2">
        <v>-0.0396524389796698</v>
      </c>
      <c r="P123" s="2">
        <f t="shared" si="5"/>
        <v>7.1931054939798456</v>
      </c>
      <c r="R123">
        <v>0.0026319029319077864</v>
      </c>
    </row>
    <row r="124" spans="1:18" ht="12.75">
      <c r="A124" s="1">
        <f>DATE(1957,1,1)</f>
        <v>20821</v>
      </c>
      <c r="B124">
        <v>1957</v>
      </c>
      <c r="C124">
        <v>1</v>
      </c>
      <c r="D124">
        <v>3.21</v>
      </c>
      <c r="F124" s="3">
        <f>DATE(1957,1,1)</f>
        <v>20821</v>
      </c>
      <c r="G124">
        <v>27.6</v>
      </c>
      <c r="H124">
        <v>27.67</v>
      </c>
      <c r="I124" s="2">
        <f t="shared" si="3"/>
        <v>1.0014477017734347</v>
      </c>
      <c r="J124" s="2">
        <f t="shared" si="4"/>
        <v>-2.042375745329761</v>
      </c>
      <c r="N124" s="2">
        <v>-0.06185038355893503</v>
      </c>
      <c r="P124" s="2">
        <f t="shared" si="5"/>
        <v>-5.272375745329761</v>
      </c>
      <c r="R124">
        <v>0.0161530335048044</v>
      </c>
    </row>
    <row r="125" spans="1:18" ht="12.75">
      <c r="A125" s="1">
        <f>DATE(1957,2,1)</f>
        <v>20852</v>
      </c>
      <c r="B125">
        <v>1957</v>
      </c>
      <c r="C125">
        <v>2</v>
      </c>
      <c r="D125">
        <v>3.16</v>
      </c>
      <c r="F125" s="3">
        <f>DATE(1957,2,1)</f>
        <v>20852</v>
      </c>
      <c r="G125">
        <v>27.7</v>
      </c>
      <c r="H125">
        <v>27.8</v>
      </c>
      <c r="I125" s="2">
        <f t="shared" si="3"/>
        <v>1.0046982291290205</v>
      </c>
      <c r="J125" s="2">
        <f t="shared" si="4"/>
        <v>1.3846118412349284</v>
      </c>
      <c r="N125" s="2">
        <v>-0.04124855736574645</v>
      </c>
      <c r="P125" s="2">
        <f t="shared" si="5"/>
        <v>3.4269875865646893</v>
      </c>
      <c r="R125">
        <v>-0.04080144842737589</v>
      </c>
    </row>
    <row r="126" spans="1:18" ht="12.75">
      <c r="A126" s="1">
        <f>DATE(1957,3,1)</f>
        <v>20880</v>
      </c>
      <c r="B126">
        <v>1957</v>
      </c>
      <c r="C126">
        <v>3</v>
      </c>
      <c r="D126">
        <v>3.14</v>
      </c>
      <c r="F126" s="3">
        <f>DATE(1957,3,1)</f>
        <v>20880</v>
      </c>
      <c r="G126">
        <v>27.8</v>
      </c>
      <c r="H126">
        <v>27.86</v>
      </c>
      <c r="I126" s="2">
        <f t="shared" si="3"/>
        <v>1.0021582733812948</v>
      </c>
      <c r="J126" s="2">
        <f t="shared" si="4"/>
        <v>-2.501151678219826</v>
      </c>
      <c r="N126" s="2">
        <v>-0.06835078898739917</v>
      </c>
      <c r="P126" s="2">
        <f t="shared" si="5"/>
        <v>-3.8857635194547546</v>
      </c>
      <c r="R126">
        <v>0.04427297070642351</v>
      </c>
    </row>
    <row r="127" spans="1:18" ht="12.75">
      <c r="A127" s="1">
        <f>DATE(1957,4,1)</f>
        <v>20911</v>
      </c>
      <c r="B127">
        <v>1957</v>
      </c>
      <c r="C127">
        <v>4</v>
      </c>
      <c r="D127">
        <v>3.11</v>
      </c>
      <c r="F127" s="3">
        <f>DATE(1957,4,1)</f>
        <v>20911</v>
      </c>
      <c r="G127">
        <v>27.9</v>
      </c>
      <c r="H127">
        <v>27.93</v>
      </c>
      <c r="I127" s="2">
        <f t="shared" si="3"/>
        <v>1.0025125628140703</v>
      </c>
      <c r="J127" s="2">
        <f t="shared" si="4"/>
        <v>0.4766143783299759</v>
      </c>
      <c r="N127" s="2">
        <v>-0.0365638668419849</v>
      </c>
      <c r="P127" s="2">
        <f t="shared" si="5"/>
        <v>2.977766056549802</v>
      </c>
      <c r="R127">
        <v>-0.05816849067786562</v>
      </c>
    </row>
    <row r="128" spans="1:18" ht="12.75">
      <c r="A128" s="1">
        <f>DATE(1957,5,1)</f>
        <v>20941</v>
      </c>
      <c r="B128">
        <v>1957</v>
      </c>
      <c r="C128">
        <v>5</v>
      </c>
      <c r="D128">
        <v>3.04</v>
      </c>
      <c r="F128" s="3">
        <f>DATE(1957,5,1)</f>
        <v>20941</v>
      </c>
      <c r="G128">
        <v>28</v>
      </c>
      <c r="H128">
        <v>28</v>
      </c>
      <c r="I128" s="2">
        <f t="shared" si="3"/>
        <v>1.0025062656641603</v>
      </c>
      <c r="J128" s="2">
        <f t="shared" si="4"/>
        <v>-0.01658491426659303</v>
      </c>
      <c r="N128" s="2">
        <v>-0.046395963923456615</v>
      </c>
      <c r="P128" s="2">
        <f t="shared" si="5"/>
        <v>-0.4931992925965689</v>
      </c>
      <c r="R128">
        <v>0.04362545245984695</v>
      </c>
    </row>
    <row r="129" spans="1:18" ht="12.75">
      <c r="A129" s="1">
        <f>DATE(1957,6,1)</f>
        <v>20972</v>
      </c>
      <c r="B129">
        <v>1957</v>
      </c>
      <c r="C129">
        <v>6</v>
      </c>
      <c r="D129">
        <v>3.32</v>
      </c>
      <c r="F129" s="3">
        <f>DATE(1957,6,1)</f>
        <v>20972</v>
      </c>
      <c r="G129">
        <v>28.1</v>
      </c>
      <c r="H129">
        <v>28.11</v>
      </c>
      <c r="I129" s="2">
        <f t="shared" si="3"/>
        <v>1.0039285714285715</v>
      </c>
      <c r="J129" s="2">
        <f t="shared" si="4"/>
        <v>0.26266632732117046</v>
      </c>
      <c r="N129" s="2">
        <v>-0.03728071402556052</v>
      </c>
      <c r="P129" s="2">
        <f t="shared" si="5"/>
        <v>0.2792512415877635</v>
      </c>
      <c r="R129">
        <v>-0.019735341908291983</v>
      </c>
    </row>
    <row r="130" spans="1:18" ht="12.75">
      <c r="A130" s="1">
        <f>DATE(1957,7,1)</f>
        <v>21002</v>
      </c>
      <c r="B130">
        <v>1957</v>
      </c>
      <c r="C130">
        <v>7</v>
      </c>
      <c r="D130">
        <v>3.16</v>
      </c>
      <c r="F130" s="3">
        <f>DATE(1957,7,1)</f>
        <v>21002</v>
      </c>
      <c r="G130">
        <v>28.3</v>
      </c>
      <c r="H130">
        <v>28.19</v>
      </c>
      <c r="I130" s="2">
        <f t="shared" si="3"/>
        <v>1.0028459622909998</v>
      </c>
      <c r="J130" s="2">
        <f t="shared" si="4"/>
        <v>-1.581314030457992</v>
      </c>
      <c r="N130" s="2">
        <v>-0.03826670713453957</v>
      </c>
      <c r="P130" s="2">
        <f t="shared" si="5"/>
        <v>-1.8439803577791625</v>
      </c>
      <c r="R130">
        <v>0.010711009908707173</v>
      </c>
    </row>
    <row r="131" spans="1:18" ht="12.75">
      <c r="A131" s="1">
        <f>DATE(1957,8,1)</f>
        <v>21033</v>
      </c>
      <c r="B131">
        <v>1957</v>
      </c>
      <c r="C131">
        <v>8</v>
      </c>
      <c r="D131">
        <v>3.4</v>
      </c>
      <c r="F131" s="3">
        <f>DATE(1957,8,1)</f>
        <v>21033</v>
      </c>
      <c r="G131">
        <v>28.3</v>
      </c>
      <c r="H131">
        <v>28.28</v>
      </c>
      <c r="I131" s="2">
        <f t="shared" si="3"/>
        <v>1.0031926214969848</v>
      </c>
      <c r="J131" s="2">
        <f t="shared" si="4"/>
        <v>-0.06680431644692231</v>
      </c>
      <c r="N131" s="2">
        <v>-0.035119458958476485</v>
      </c>
      <c r="P131" s="2">
        <f t="shared" si="5"/>
        <v>1.5145097140110697</v>
      </c>
      <c r="R131">
        <v>-0.005027219826319428</v>
      </c>
    </row>
    <row r="132" spans="1:18" ht="12.75">
      <c r="A132" s="1">
        <f>DATE(1957,9,1)</f>
        <v>21064</v>
      </c>
      <c r="B132">
        <v>1957</v>
      </c>
      <c r="C132">
        <v>9</v>
      </c>
      <c r="D132">
        <v>3.58</v>
      </c>
      <c r="F132" s="3">
        <f>DATE(1957,9,1)</f>
        <v>21064</v>
      </c>
      <c r="G132">
        <v>28.3</v>
      </c>
      <c r="H132">
        <v>28.32</v>
      </c>
      <c r="I132" s="2">
        <f t="shared" si="3"/>
        <v>1.0014144271570014</v>
      </c>
      <c r="J132" s="2">
        <f t="shared" si="4"/>
        <v>-0.3071628686680983</v>
      </c>
      <c r="N132" s="2">
        <v>-0.04940564193481049</v>
      </c>
      <c r="P132" s="2">
        <f t="shared" si="5"/>
        <v>-0.24035855222117597</v>
      </c>
      <c r="R132">
        <v>0.01817267639268789</v>
      </c>
    </row>
    <row r="133" spans="1:18" ht="12.75">
      <c r="A133" s="1">
        <f>DATE(1957,10,1)</f>
        <v>21094</v>
      </c>
      <c r="B133">
        <v>1957</v>
      </c>
      <c r="C133">
        <v>10</v>
      </c>
      <c r="D133">
        <v>3.59</v>
      </c>
      <c r="F133" s="3">
        <f>DATE(1957,10,1)</f>
        <v>21094</v>
      </c>
      <c r="G133">
        <v>28.3</v>
      </c>
      <c r="H133">
        <v>28.32</v>
      </c>
      <c r="I133" s="2">
        <f t="shared" si="3"/>
        <v>1</v>
      </c>
      <c r="J133" s="2">
        <f t="shared" si="4"/>
        <v>1.8478126757191404</v>
      </c>
      <c r="N133" s="2">
        <v>-0.06887685474961638</v>
      </c>
      <c r="P133" s="2">
        <f t="shared" si="5"/>
        <v>2.1549755443872387</v>
      </c>
      <c r="R133">
        <v>0.007680692811540247</v>
      </c>
    </row>
    <row r="134" spans="1:18" ht="12.75">
      <c r="A134" s="1">
        <f>DATE(1957,11,1)</f>
        <v>21125</v>
      </c>
      <c r="B134">
        <v>1957</v>
      </c>
      <c r="C134">
        <v>11</v>
      </c>
      <c r="D134">
        <v>3.34</v>
      </c>
      <c r="F134" s="3">
        <f>DATE(1957,11,1)</f>
        <v>21125</v>
      </c>
      <c r="G134">
        <v>28.4</v>
      </c>
      <c r="H134">
        <v>28.41</v>
      </c>
      <c r="I134" s="2">
        <f aca="true" t="shared" si="6" ref="I134:I197">H134/H133</f>
        <v>1.0031779661016949</v>
      </c>
      <c r="J134" s="2">
        <f t="shared" si="4"/>
        <v>3.3400000000000096</v>
      </c>
      <c r="N134" s="2">
        <v>-0.08151843627640275</v>
      </c>
      <c r="P134" s="2">
        <f t="shared" si="5"/>
        <v>1.4921873242808692</v>
      </c>
      <c r="R134">
        <v>-0.0065571237765680536</v>
      </c>
    </row>
    <row r="135" spans="1:18" ht="12.75">
      <c r="A135" s="1">
        <f>DATE(1957,12,1)</f>
        <v>21155</v>
      </c>
      <c r="B135">
        <v>1957</v>
      </c>
      <c r="C135">
        <v>12</v>
      </c>
      <c r="D135">
        <v>3.1</v>
      </c>
      <c r="F135" s="3">
        <f>DATE(1957,12,1)</f>
        <v>21155</v>
      </c>
      <c r="G135">
        <v>28.4</v>
      </c>
      <c r="H135">
        <v>28.47</v>
      </c>
      <c r="I135" s="2">
        <f t="shared" si="6"/>
        <v>1.0021119324181627</v>
      </c>
      <c r="J135" s="2">
        <f aca="true" t="shared" si="7" ref="J135:J198">((1+D135/100)/(I134^12)-1)*100</f>
        <v>-0.7517520478935058</v>
      </c>
      <c r="N135" s="2">
        <v>-0.09124193484861823</v>
      </c>
      <c r="P135" s="2">
        <f t="shared" si="5"/>
        <v>-4.091752047893515</v>
      </c>
      <c r="R135">
        <v>-0.007776872248950344</v>
      </c>
    </row>
    <row r="136" spans="1:18" ht="12.75">
      <c r="A136" s="1">
        <f>DATE(1958,1,1)</f>
        <v>21186</v>
      </c>
      <c r="B136">
        <v>1958</v>
      </c>
      <c r="C136">
        <v>1</v>
      </c>
      <c r="D136">
        <v>2.6</v>
      </c>
      <c r="F136" s="3">
        <f>DATE(1958,1,1)</f>
        <v>21186</v>
      </c>
      <c r="G136">
        <v>28.6</v>
      </c>
      <c r="H136">
        <v>28.64</v>
      </c>
      <c r="I136" s="2">
        <f t="shared" si="6"/>
        <v>1.0059711977520198</v>
      </c>
      <c r="J136" s="2">
        <f t="shared" si="7"/>
        <v>0.035134336901032626</v>
      </c>
      <c r="N136" s="2">
        <v>-0.03381479620111144</v>
      </c>
      <c r="P136" s="2">
        <f aca="true" t="shared" si="8" ref="P136:P199">J136-J135</f>
        <v>0.7868863847945384</v>
      </c>
      <c r="R136">
        <v>-0.06794938224311195</v>
      </c>
    </row>
    <row r="137" spans="1:18" ht="12.75">
      <c r="A137" s="1">
        <f>DATE(1958,2,1)</f>
        <v>21217</v>
      </c>
      <c r="B137">
        <v>1958</v>
      </c>
      <c r="C137">
        <v>2</v>
      </c>
      <c r="D137">
        <v>1.56</v>
      </c>
      <c r="F137" s="3">
        <f>DATE(1958,2,1)</f>
        <v>21217</v>
      </c>
      <c r="G137">
        <v>28.6</v>
      </c>
      <c r="H137">
        <v>28.7</v>
      </c>
      <c r="I137" s="2">
        <f t="shared" si="6"/>
        <v>1.0020949720670391</v>
      </c>
      <c r="J137" s="2">
        <f t="shared" si="7"/>
        <v>-5.442466702660676</v>
      </c>
      <c r="N137" s="2">
        <v>-0.02181532928295533</v>
      </c>
      <c r="P137" s="2">
        <f t="shared" si="8"/>
        <v>-5.4776010395617085</v>
      </c>
      <c r="R137">
        <v>0.042084372810372306</v>
      </c>
    </row>
    <row r="138" spans="1:18" ht="12.75">
      <c r="A138" s="1">
        <f>DATE(1958,3,1)</f>
        <v>21245</v>
      </c>
      <c r="B138">
        <v>1958</v>
      </c>
      <c r="C138">
        <v>3</v>
      </c>
      <c r="D138">
        <v>1.35</v>
      </c>
      <c r="F138" s="3">
        <f>DATE(1958,3,1)</f>
        <v>21245</v>
      </c>
      <c r="G138">
        <v>28.8</v>
      </c>
      <c r="H138">
        <v>28.87</v>
      </c>
      <c r="I138" s="2">
        <f t="shared" si="6"/>
        <v>1.0059233449477352</v>
      </c>
      <c r="J138" s="2">
        <f t="shared" si="7"/>
        <v>-1.1635459498806067</v>
      </c>
      <c r="N138" s="2">
        <v>-0.039073458587916096</v>
      </c>
      <c r="P138" s="2">
        <f t="shared" si="8"/>
        <v>4.278920752780069</v>
      </c>
      <c r="R138">
        <v>0.03488792629148499</v>
      </c>
    </row>
    <row r="139" spans="1:18" ht="12.75">
      <c r="A139" s="1">
        <f>DATE(1958,4,1)</f>
        <v>21276</v>
      </c>
      <c r="B139">
        <v>1958</v>
      </c>
      <c r="C139">
        <v>4</v>
      </c>
      <c r="D139">
        <v>1.13</v>
      </c>
      <c r="F139" s="3">
        <f>DATE(1958,4,1)</f>
        <v>21276</v>
      </c>
      <c r="G139">
        <v>28.9</v>
      </c>
      <c r="H139">
        <v>28.94</v>
      </c>
      <c r="I139" s="2">
        <f t="shared" si="6"/>
        <v>1.0024246622791826</v>
      </c>
      <c r="J139" s="2">
        <f t="shared" si="7"/>
        <v>-5.789054697554996</v>
      </c>
      <c r="N139" s="2">
        <v>-0.057003381341136916</v>
      </c>
      <c r="P139" s="2">
        <f t="shared" si="8"/>
        <v>-4.62550874767439</v>
      </c>
      <c r="R139">
        <v>-0.002818760134052837</v>
      </c>
    </row>
    <row r="140" spans="1:18" ht="12.75">
      <c r="A140" s="1">
        <f>DATE(1958,5,1)</f>
        <v>21306</v>
      </c>
      <c r="B140">
        <v>1958</v>
      </c>
      <c r="C140">
        <v>5</v>
      </c>
      <c r="D140">
        <v>1.05</v>
      </c>
      <c r="F140" s="3">
        <f>DATE(1958,5,1)</f>
        <v>21306</v>
      </c>
      <c r="G140">
        <v>28.9</v>
      </c>
      <c r="H140">
        <v>28.94</v>
      </c>
      <c r="I140" s="2">
        <f t="shared" si="6"/>
        <v>1</v>
      </c>
      <c r="J140" s="2">
        <f t="shared" si="7"/>
        <v>-1.8443274742157567</v>
      </c>
      <c r="N140" s="2">
        <v>-0.07409723552334428</v>
      </c>
      <c r="P140" s="2">
        <f t="shared" si="8"/>
        <v>3.9447272233392394</v>
      </c>
      <c r="R140">
        <v>0.0018775416947852416</v>
      </c>
    </row>
    <row r="141" spans="1:18" ht="12.75">
      <c r="A141" s="1">
        <f>DATE(1958,6,1)</f>
        <v>21337</v>
      </c>
      <c r="B141">
        <v>1958</v>
      </c>
      <c r="C141">
        <v>6</v>
      </c>
      <c r="D141">
        <v>0.88</v>
      </c>
      <c r="F141" s="3">
        <f>DATE(1958,6,1)</f>
        <v>21337</v>
      </c>
      <c r="G141">
        <v>28.9</v>
      </c>
      <c r="H141">
        <v>28.91</v>
      </c>
      <c r="I141" s="2">
        <f t="shared" si="6"/>
        <v>0.9989633724948168</v>
      </c>
      <c r="J141" s="2">
        <f t="shared" si="7"/>
        <v>0.8799999999999919</v>
      </c>
      <c r="N141" s="2">
        <v>-0.08447964183917664</v>
      </c>
      <c r="P141" s="2">
        <f t="shared" si="8"/>
        <v>2.7243274742157486</v>
      </c>
      <c r="R141">
        <v>-0.005062392564897261</v>
      </c>
    </row>
    <row r="142" spans="1:18" ht="12.75">
      <c r="A142" s="1">
        <f>DATE(1958,7,1)</f>
        <v>21367</v>
      </c>
      <c r="B142">
        <v>1958</v>
      </c>
      <c r="C142">
        <v>7</v>
      </c>
      <c r="D142">
        <v>0.96</v>
      </c>
      <c r="F142" s="3">
        <f>DATE(1958,7,1)</f>
        <v>21367</v>
      </c>
      <c r="G142">
        <v>29</v>
      </c>
      <c r="H142">
        <v>28.89</v>
      </c>
      <c r="I142" s="2">
        <f t="shared" si="6"/>
        <v>0.9993081978554134</v>
      </c>
      <c r="J142" s="2">
        <f t="shared" si="7"/>
        <v>2.2243983711710102</v>
      </c>
      <c r="N142" s="2">
        <v>-0.07629938565492639</v>
      </c>
      <c r="P142" s="2">
        <f t="shared" si="8"/>
        <v>1.3443983711710183</v>
      </c>
      <c r="R142">
        <v>-0.01764810158136933</v>
      </c>
    </row>
    <row r="143" spans="1:18" ht="12.75">
      <c r="A143" s="1">
        <f>DATE(1958,8,1)</f>
        <v>21398</v>
      </c>
      <c r="B143">
        <v>1958</v>
      </c>
      <c r="C143">
        <v>8</v>
      </c>
      <c r="D143">
        <v>1.69</v>
      </c>
      <c r="F143" s="3">
        <f>DATE(1958,8,1)</f>
        <v>21398</v>
      </c>
      <c r="G143">
        <v>28.9</v>
      </c>
      <c r="H143">
        <v>28.94</v>
      </c>
      <c r="I143" s="2">
        <f t="shared" si="6"/>
        <v>1.0017307026652822</v>
      </c>
      <c r="J143" s="2">
        <f t="shared" si="7"/>
        <v>2.538000699577303</v>
      </c>
      <c r="N143" s="2">
        <v>-0.07937778452718587</v>
      </c>
      <c r="P143" s="2">
        <f t="shared" si="8"/>
        <v>0.31360232840629276</v>
      </c>
      <c r="R143">
        <v>0.011747881185880844</v>
      </c>
    </row>
    <row r="144" spans="1:18" ht="12.75">
      <c r="A144" s="1">
        <f>DATE(1958,9,1)</f>
        <v>21429</v>
      </c>
      <c r="B144">
        <v>1958</v>
      </c>
      <c r="C144">
        <v>9</v>
      </c>
      <c r="D144">
        <v>2.48</v>
      </c>
      <c r="F144" s="3">
        <f>DATE(1958,9,1)</f>
        <v>21429</v>
      </c>
      <c r="G144">
        <v>28.9</v>
      </c>
      <c r="H144">
        <v>28.91</v>
      </c>
      <c r="I144" s="2">
        <f t="shared" si="6"/>
        <v>0.9989633724948168</v>
      </c>
      <c r="J144" s="2">
        <f t="shared" si="7"/>
        <v>0.3754019644595985</v>
      </c>
      <c r="N144" s="2">
        <v>-0.08462135566243076</v>
      </c>
      <c r="P144" s="2">
        <f t="shared" si="8"/>
        <v>-2.1625987351177045</v>
      </c>
      <c r="R144">
        <v>0.00028118067033319066</v>
      </c>
    </row>
    <row r="145" spans="1:18" ht="12.75">
      <c r="A145" s="1">
        <f>DATE(1958,10,1)</f>
        <v>21459</v>
      </c>
      <c r="B145">
        <v>1958</v>
      </c>
      <c r="C145">
        <v>10</v>
      </c>
      <c r="D145">
        <v>2.79</v>
      </c>
      <c r="F145" s="3">
        <f>DATE(1958,10,1)</f>
        <v>21459</v>
      </c>
      <c r="G145">
        <v>28.9</v>
      </c>
      <c r="H145">
        <v>28.91</v>
      </c>
      <c r="I145" s="2">
        <f t="shared" si="6"/>
        <v>1</v>
      </c>
      <c r="J145" s="2">
        <f t="shared" si="7"/>
        <v>4.077316844024059</v>
      </c>
      <c r="N145" s="2">
        <v>-0.04360907986637584</v>
      </c>
      <c r="P145" s="2">
        <f t="shared" si="8"/>
        <v>3.7019148795644607</v>
      </c>
      <c r="R145">
        <v>-0.04450847131258541</v>
      </c>
    </row>
    <row r="146" spans="1:18" ht="12.75">
      <c r="A146" s="1">
        <f>DATE(1958,11,1)</f>
        <v>21490</v>
      </c>
      <c r="B146">
        <v>1958</v>
      </c>
      <c r="C146">
        <v>11</v>
      </c>
      <c r="D146">
        <v>2.76</v>
      </c>
      <c r="F146" s="3">
        <f>DATE(1958,11,1)</f>
        <v>21490</v>
      </c>
      <c r="G146">
        <v>29</v>
      </c>
      <c r="H146">
        <v>28.95</v>
      </c>
      <c r="I146" s="2">
        <f t="shared" si="6"/>
        <v>1.0013836042891733</v>
      </c>
      <c r="J146" s="2">
        <f t="shared" si="7"/>
        <v>2.760000000000007</v>
      </c>
      <c r="N146" s="2">
        <v>-0.04598912090449732</v>
      </c>
      <c r="P146" s="2">
        <f t="shared" si="8"/>
        <v>-1.3173168440240524</v>
      </c>
      <c r="R146">
        <v>0.04426272893039945</v>
      </c>
    </row>
    <row r="147" spans="1:18" ht="12.75">
      <c r="A147" s="1">
        <f>DATE(1958,12,1)</f>
        <v>21520</v>
      </c>
      <c r="B147">
        <v>1958</v>
      </c>
      <c r="C147">
        <v>12</v>
      </c>
      <c r="D147">
        <v>2.81</v>
      </c>
      <c r="F147" s="3">
        <f>DATE(1958,12,1)</f>
        <v>21520</v>
      </c>
      <c r="G147">
        <v>28.9</v>
      </c>
      <c r="H147">
        <v>28.97</v>
      </c>
      <c r="I147" s="2">
        <f t="shared" si="6"/>
        <v>1.0006908462867012</v>
      </c>
      <c r="J147" s="2">
        <f t="shared" si="7"/>
        <v>1.118272709920265</v>
      </c>
      <c r="N147" s="2">
        <v>-0.06060843645535708</v>
      </c>
      <c r="P147" s="2">
        <f t="shared" si="8"/>
        <v>-1.641727290079742</v>
      </c>
      <c r="R147">
        <v>0.011219556430570394</v>
      </c>
    </row>
    <row r="148" spans="1:18" ht="12.75">
      <c r="A148" s="1">
        <f>DATE(1959,1,1)</f>
        <v>21551</v>
      </c>
      <c r="B148">
        <v>1959</v>
      </c>
      <c r="C148">
        <v>1</v>
      </c>
      <c r="D148">
        <v>2.84</v>
      </c>
      <c r="F148" s="3">
        <f>DATE(1959,1,1)</f>
        <v>21551</v>
      </c>
      <c r="G148">
        <v>29</v>
      </c>
      <c r="H148">
        <v>29.01</v>
      </c>
      <c r="I148" s="2">
        <f t="shared" si="6"/>
        <v>1.001380738695202</v>
      </c>
      <c r="J148" s="2">
        <f t="shared" si="7"/>
        <v>1.9912565233372037</v>
      </c>
      <c r="N148" s="2">
        <v>-0.054688527696035605</v>
      </c>
      <c r="P148" s="2">
        <f t="shared" si="8"/>
        <v>0.8729838134169388</v>
      </c>
      <c r="R148">
        <v>-0.0204733464780007</v>
      </c>
    </row>
    <row r="149" spans="1:18" ht="12.75">
      <c r="A149" s="1">
        <f>DATE(1959,2,1)</f>
        <v>21582</v>
      </c>
      <c r="B149">
        <v>1959</v>
      </c>
      <c r="C149">
        <v>2</v>
      </c>
      <c r="D149">
        <v>2.71</v>
      </c>
      <c r="F149" s="3">
        <f>DATE(1959,2,1)</f>
        <v>21582</v>
      </c>
      <c r="G149">
        <v>28.9</v>
      </c>
      <c r="H149">
        <v>29</v>
      </c>
      <c r="I149" s="2">
        <f t="shared" si="6"/>
        <v>0.9996552912788693</v>
      </c>
      <c r="J149" s="2">
        <f t="shared" si="7"/>
        <v>1.0233872486143936</v>
      </c>
      <c r="N149" s="2">
        <v>-0.06052071383720494</v>
      </c>
      <c r="P149" s="2">
        <f t="shared" si="8"/>
        <v>-0.9678692747228101</v>
      </c>
      <c r="R149">
        <v>0.011391801455373574</v>
      </c>
    </row>
    <row r="150" spans="1:18" ht="12.75">
      <c r="A150" s="1">
        <f>DATE(1959,3,1)</f>
        <v>21610</v>
      </c>
      <c r="B150">
        <v>1959</v>
      </c>
      <c r="C150">
        <v>3</v>
      </c>
      <c r="D150">
        <v>2.85</v>
      </c>
      <c r="F150" s="3">
        <f>DATE(1959,3,1)</f>
        <v>21610</v>
      </c>
      <c r="G150">
        <v>28.9</v>
      </c>
      <c r="H150">
        <v>28.97</v>
      </c>
      <c r="I150" s="2">
        <f t="shared" si="6"/>
        <v>0.9989655172413793</v>
      </c>
      <c r="J150" s="2">
        <f t="shared" si="7"/>
        <v>3.276394281625583</v>
      </c>
      <c r="N150" s="2">
        <v>-0.061568367038994355</v>
      </c>
      <c r="P150" s="2">
        <f t="shared" si="8"/>
        <v>2.2530070330111895</v>
      </c>
      <c r="R150">
        <v>-0.0034089305413967145</v>
      </c>
    </row>
    <row r="151" spans="1:18" ht="12.75">
      <c r="A151" s="1">
        <f>DATE(1959,4,1)</f>
        <v>21641</v>
      </c>
      <c r="B151">
        <v>1959</v>
      </c>
      <c r="C151">
        <v>4</v>
      </c>
      <c r="D151">
        <v>2.96</v>
      </c>
      <c r="F151" s="3">
        <f>DATE(1959,4,1)</f>
        <v>21641</v>
      </c>
      <c r="G151">
        <v>29</v>
      </c>
      <c r="H151">
        <v>28.98</v>
      </c>
      <c r="I151" s="2">
        <f t="shared" si="6"/>
        <v>1.0003451846738005</v>
      </c>
      <c r="J151" s="2">
        <f t="shared" si="7"/>
        <v>4.246760072055178</v>
      </c>
      <c r="N151" s="2">
        <v>-0.06204512119425057</v>
      </c>
      <c r="P151" s="2">
        <f t="shared" si="8"/>
        <v>0.9703657904295948</v>
      </c>
      <c r="R151">
        <v>0.001577740043377102</v>
      </c>
    </row>
    <row r="152" spans="1:18" ht="12.75">
      <c r="A152" s="1">
        <f>DATE(1959,5,1)</f>
        <v>21671</v>
      </c>
      <c r="B152">
        <v>1959</v>
      </c>
      <c r="C152">
        <v>5</v>
      </c>
      <c r="D152">
        <v>2.85</v>
      </c>
      <c r="F152" s="3">
        <f>DATE(1959,5,1)</f>
        <v>21671</v>
      </c>
      <c r="G152">
        <v>29</v>
      </c>
      <c r="H152">
        <v>29.04</v>
      </c>
      <c r="I152" s="2">
        <f t="shared" si="6"/>
        <v>1.0020703933747412</v>
      </c>
      <c r="J152" s="2">
        <f t="shared" si="7"/>
        <v>2.4249274145730526</v>
      </c>
      <c r="N152" s="2">
        <v>-0.03167402163608791</v>
      </c>
      <c r="P152" s="2">
        <f t="shared" si="8"/>
        <v>-1.8218326574821253</v>
      </c>
      <c r="R152">
        <v>-0.034856995871097585</v>
      </c>
    </row>
    <row r="153" spans="1:18" ht="12.75">
      <c r="A153" s="1">
        <f>DATE(1959,6,1)</f>
        <v>21702</v>
      </c>
      <c r="B153">
        <v>1959</v>
      </c>
      <c r="C153">
        <v>6</v>
      </c>
      <c r="D153">
        <v>3.25</v>
      </c>
      <c r="F153" s="3">
        <f>DATE(1959,6,1)</f>
        <v>21702</v>
      </c>
      <c r="G153">
        <v>29.1</v>
      </c>
      <c r="H153">
        <v>29.11</v>
      </c>
      <c r="I153" s="2">
        <f t="shared" si="6"/>
        <v>1.0024104683195592</v>
      </c>
      <c r="J153" s="2">
        <f t="shared" si="7"/>
        <v>0.7189731987103043</v>
      </c>
      <c r="N153" s="2">
        <v>-0.03223032591097998</v>
      </c>
      <c r="P153" s="2">
        <f t="shared" si="8"/>
        <v>-1.7059542158627483</v>
      </c>
      <c r="R153">
        <v>0.03030279677442007</v>
      </c>
    </row>
    <row r="154" spans="1:18" ht="12.75">
      <c r="A154" s="1">
        <f>DATE(1959,7,1)</f>
        <v>21732</v>
      </c>
      <c r="B154">
        <v>1959</v>
      </c>
      <c r="C154">
        <v>7</v>
      </c>
      <c r="D154">
        <v>3.24</v>
      </c>
      <c r="F154" s="3">
        <f>DATE(1959,7,1)</f>
        <v>21732</v>
      </c>
      <c r="G154">
        <v>29.2</v>
      </c>
      <c r="H154">
        <v>29.15</v>
      </c>
      <c r="I154" s="2">
        <f t="shared" si="6"/>
        <v>1.0013740982480248</v>
      </c>
      <c r="J154" s="2">
        <f t="shared" si="7"/>
        <v>0.2999865870109142</v>
      </c>
      <c r="N154" s="2">
        <v>-0.025247656103989727</v>
      </c>
      <c r="P154" s="2">
        <f t="shared" si="8"/>
        <v>-0.4189866116993901</v>
      </c>
      <c r="R154">
        <v>-0.007621170545143109</v>
      </c>
    </row>
    <row r="155" spans="1:18" ht="12.75">
      <c r="A155" s="1">
        <f>DATE(1959,8,1)</f>
        <v>21763</v>
      </c>
      <c r="B155">
        <v>1959</v>
      </c>
      <c r="C155">
        <v>8</v>
      </c>
      <c r="D155">
        <v>3.36</v>
      </c>
      <c r="F155" s="3">
        <f>DATE(1959,8,1)</f>
        <v>21763</v>
      </c>
      <c r="G155">
        <v>29.2</v>
      </c>
      <c r="H155">
        <v>29.18</v>
      </c>
      <c r="I155" s="2">
        <f t="shared" si="6"/>
        <v>1.0010291595197256</v>
      </c>
      <c r="J155" s="2">
        <f t="shared" si="7"/>
        <v>1.6708037329523417</v>
      </c>
      <c r="N155" s="2">
        <v>-0.028348890646260394</v>
      </c>
      <c r="P155" s="2">
        <f t="shared" si="8"/>
        <v>1.3708171459414276</v>
      </c>
      <c r="R155">
        <v>0.011082687771781329</v>
      </c>
    </row>
    <row r="156" spans="1:18" ht="12.75">
      <c r="A156" s="1">
        <f>DATE(1959,9,1)</f>
        <v>21794</v>
      </c>
      <c r="B156">
        <v>1959</v>
      </c>
      <c r="C156">
        <v>9</v>
      </c>
      <c r="D156">
        <v>4</v>
      </c>
      <c r="F156" s="3">
        <f>DATE(1959,9,1)</f>
        <v>21794</v>
      </c>
      <c r="G156">
        <v>29.3</v>
      </c>
      <c r="H156">
        <v>29.25</v>
      </c>
      <c r="I156" s="2">
        <f t="shared" si="6"/>
        <v>1.0023989033584648</v>
      </c>
      <c r="J156" s="2">
        <f t="shared" si="7"/>
        <v>2.724159794524361</v>
      </c>
      <c r="N156" s="2">
        <v>-0.018435305915722056</v>
      </c>
      <c r="P156" s="2">
        <f t="shared" si="8"/>
        <v>1.0533560615720194</v>
      </c>
      <c r="R156">
        <v>-0.01190270663024854</v>
      </c>
    </row>
    <row r="157" spans="1:18" ht="12.75">
      <c r="A157" s="1">
        <f>DATE(1959,10,1)</f>
        <v>21824</v>
      </c>
      <c r="B157">
        <v>1959</v>
      </c>
      <c r="C157">
        <v>10</v>
      </c>
      <c r="D157">
        <v>4.12</v>
      </c>
      <c r="F157" s="3">
        <f>DATE(1959,10,1)</f>
        <v>21824</v>
      </c>
      <c r="G157">
        <v>29.4</v>
      </c>
      <c r="H157">
        <v>29.35</v>
      </c>
      <c r="I157" s="2">
        <f t="shared" si="6"/>
        <v>1.0034188034188034</v>
      </c>
      <c r="J157" s="2">
        <f t="shared" si="7"/>
        <v>1.168931944827567</v>
      </c>
      <c r="N157" s="2">
        <v>-0.03979806504260382</v>
      </c>
      <c r="P157" s="2">
        <f t="shared" si="8"/>
        <v>-1.5552278496967942</v>
      </c>
      <c r="R157">
        <v>0.03074317368027041</v>
      </c>
    </row>
    <row r="158" spans="1:18" ht="12.75">
      <c r="A158" s="1">
        <f>DATE(1959,11,1)</f>
        <v>21855</v>
      </c>
      <c r="B158">
        <v>1959</v>
      </c>
      <c r="C158">
        <v>11</v>
      </c>
      <c r="D158">
        <v>4.21</v>
      </c>
      <c r="F158" s="3">
        <f>DATE(1959,11,1)</f>
        <v>21855</v>
      </c>
      <c r="G158">
        <v>29.4</v>
      </c>
      <c r="H158">
        <v>29.35</v>
      </c>
      <c r="I158" s="2">
        <f t="shared" si="6"/>
        <v>1</v>
      </c>
      <c r="J158" s="2">
        <f t="shared" si="7"/>
        <v>0.0282276693936101</v>
      </c>
      <c r="N158" s="2">
        <v>-0.018766998986413385</v>
      </c>
      <c r="P158" s="2">
        <f t="shared" si="8"/>
        <v>-1.140704275433957</v>
      </c>
      <c r="R158">
        <v>-0.04498702611983582</v>
      </c>
    </row>
    <row r="159" spans="1:18" ht="12.75">
      <c r="A159" s="1">
        <f>DATE(1959,12,1)</f>
        <v>21885</v>
      </c>
      <c r="B159">
        <v>1959</v>
      </c>
      <c r="C159">
        <v>12</v>
      </c>
      <c r="D159">
        <v>4.57</v>
      </c>
      <c r="F159" s="3">
        <f>DATE(1959,12,1)</f>
        <v>21885</v>
      </c>
      <c r="G159">
        <v>29.4</v>
      </c>
      <c r="H159">
        <v>29.41</v>
      </c>
      <c r="I159" s="2">
        <f t="shared" si="6"/>
        <v>1.0020442930153322</v>
      </c>
      <c r="J159" s="2">
        <f t="shared" si="7"/>
        <v>4.570000000000007</v>
      </c>
      <c r="N159" s="2">
        <v>-0.008126401778209618</v>
      </c>
      <c r="P159" s="2">
        <f t="shared" si="8"/>
        <v>4.541772330606397</v>
      </c>
      <c r="R159">
        <v>0.015371803645062148</v>
      </c>
    </row>
    <row r="160" spans="1:18" ht="12.75">
      <c r="A160" s="1">
        <f>DATE(1960,1,1)</f>
        <v>21916</v>
      </c>
      <c r="B160">
        <v>1960</v>
      </c>
      <c r="C160">
        <v>1</v>
      </c>
      <c r="D160">
        <v>4.44</v>
      </c>
      <c r="F160" s="3">
        <f>DATE(1960,1,1)</f>
        <v>21916</v>
      </c>
      <c r="G160">
        <v>29.3</v>
      </c>
      <c r="H160">
        <v>29.37</v>
      </c>
      <c r="I160" s="2">
        <f t="shared" si="6"/>
        <v>0.9986399183951037</v>
      </c>
      <c r="J160" s="2">
        <f t="shared" si="7"/>
        <v>1.9116506994468763</v>
      </c>
      <c r="N160" s="2">
        <v>-0.007358282189068869</v>
      </c>
      <c r="P160" s="2">
        <f t="shared" si="8"/>
        <v>-2.658349300553131</v>
      </c>
      <c r="R160">
        <v>0.007250379759095495</v>
      </c>
    </row>
    <row r="161" spans="1:18" ht="12.75">
      <c r="A161" s="1">
        <f>DATE(1960,2,1)</f>
        <v>21947</v>
      </c>
      <c r="B161">
        <v>1960</v>
      </c>
      <c r="C161">
        <v>2</v>
      </c>
      <c r="D161">
        <v>3.96</v>
      </c>
      <c r="F161" s="3">
        <f>DATE(1960,2,1)</f>
        <v>21947</v>
      </c>
      <c r="G161">
        <v>29.4</v>
      </c>
      <c r="H161">
        <v>29.41</v>
      </c>
      <c r="I161" s="2">
        <f t="shared" si="6"/>
        <v>1.0013619339462037</v>
      </c>
      <c r="J161" s="2">
        <f t="shared" si="7"/>
        <v>5.671824681444981</v>
      </c>
      <c r="N161" s="2">
        <v>-0.02836938134208477</v>
      </c>
      <c r="P161" s="2">
        <f t="shared" si="8"/>
        <v>3.760173981998105</v>
      </c>
      <c r="R161">
        <v>0.02683129744016455</v>
      </c>
    </row>
    <row r="162" spans="1:18" ht="12.75">
      <c r="A162" s="1">
        <f>DATE(1960,3,1)</f>
        <v>21976</v>
      </c>
      <c r="B162">
        <v>1960</v>
      </c>
      <c r="C162">
        <v>3</v>
      </c>
      <c r="D162">
        <v>3.44</v>
      </c>
      <c r="F162" s="3">
        <f>DATE(1960,3,1)</f>
        <v>21976</v>
      </c>
      <c r="G162">
        <v>29.4</v>
      </c>
      <c r="H162">
        <v>29.41</v>
      </c>
      <c r="I162" s="2">
        <f t="shared" si="6"/>
        <v>1</v>
      </c>
      <c r="J162" s="2">
        <f t="shared" si="7"/>
        <v>1.7643296348627935</v>
      </c>
      <c r="N162" s="2">
        <v>-0.03450797622573033</v>
      </c>
      <c r="P162" s="2">
        <f t="shared" si="8"/>
        <v>-3.907495046582188</v>
      </c>
      <c r="R162">
        <v>-0.019698191751469602</v>
      </c>
    </row>
    <row r="163" spans="1:18" ht="12.75">
      <c r="A163" s="1">
        <f>DATE(1960,4,1)</f>
        <v>22007</v>
      </c>
      <c r="B163">
        <v>1960</v>
      </c>
      <c r="C163">
        <v>4</v>
      </c>
      <c r="D163">
        <v>3.25</v>
      </c>
      <c r="F163" s="3">
        <f>DATE(1960,4,1)</f>
        <v>22007</v>
      </c>
      <c r="G163">
        <v>29.5</v>
      </c>
      <c r="H163">
        <v>29.54</v>
      </c>
      <c r="I163" s="2">
        <f t="shared" si="6"/>
        <v>1.0044202652159129</v>
      </c>
      <c r="J163" s="2">
        <f t="shared" si="7"/>
        <v>3.2499999999999973</v>
      </c>
      <c r="N163" s="2">
        <v>-0.026087629451234412</v>
      </c>
      <c r="P163" s="2">
        <f t="shared" si="8"/>
        <v>1.4856703651372039</v>
      </c>
      <c r="R163">
        <v>-0.01313674444185861</v>
      </c>
    </row>
    <row r="164" spans="1:18" ht="12.75">
      <c r="A164" s="1">
        <f>DATE(1960,5,1)</f>
        <v>22037</v>
      </c>
      <c r="B164">
        <v>1960</v>
      </c>
      <c r="C164">
        <v>5</v>
      </c>
      <c r="D164">
        <v>3.39</v>
      </c>
      <c r="F164" s="3">
        <f>DATE(1960,5,1)</f>
        <v>22037</v>
      </c>
      <c r="G164">
        <v>29.5</v>
      </c>
      <c r="H164">
        <v>29.57</v>
      </c>
      <c r="I164" s="2">
        <f t="shared" si="6"/>
        <v>1.0010155721056195</v>
      </c>
      <c r="J164" s="2">
        <f t="shared" si="7"/>
        <v>-1.939763191917998</v>
      </c>
      <c r="N164" s="2">
        <v>-0.03002527736242754</v>
      </c>
      <c r="P164" s="2">
        <f t="shared" si="8"/>
        <v>-5.189763191917995</v>
      </c>
      <c r="R164">
        <v>0.007684760901035686</v>
      </c>
    </row>
    <row r="165" spans="1:18" ht="12.75">
      <c r="A165" s="1">
        <f>DATE(1960,6,1)</f>
        <v>22068</v>
      </c>
      <c r="B165">
        <v>1960</v>
      </c>
      <c r="C165">
        <v>6</v>
      </c>
      <c r="D165">
        <v>2.64</v>
      </c>
      <c r="F165" s="3">
        <f>DATE(1960,6,1)</f>
        <v>22068</v>
      </c>
      <c r="G165">
        <v>29.6</v>
      </c>
      <c r="H165">
        <v>29.61</v>
      </c>
      <c r="I165" s="2">
        <f t="shared" si="6"/>
        <v>1.0013527223537368</v>
      </c>
      <c r="J165" s="2">
        <f t="shared" si="7"/>
        <v>1.397358363280321</v>
      </c>
      <c r="N165" s="2">
        <v>-0.008714299895531087</v>
      </c>
      <c r="P165" s="2">
        <f t="shared" si="8"/>
        <v>3.337121555198319</v>
      </c>
      <c r="R165">
        <v>-0.02307401650665396</v>
      </c>
    </row>
    <row r="166" spans="1:18" ht="12.75">
      <c r="A166" s="1">
        <f>DATE(1960,7,1)</f>
        <v>22098</v>
      </c>
      <c r="B166">
        <v>1960</v>
      </c>
      <c r="C166">
        <v>7</v>
      </c>
      <c r="D166">
        <v>2.4</v>
      </c>
      <c r="F166" s="3">
        <f>DATE(1960,7,1)</f>
        <v>22098</v>
      </c>
      <c r="G166">
        <v>29.6</v>
      </c>
      <c r="H166">
        <v>29.55</v>
      </c>
      <c r="I166" s="2">
        <f t="shared" si="6"/>
        <v>0.9979736575481257</v>
      </c>
      <c r="J166" s="2">
        <f t="shared" si="7"/>
        <v>0.7522984147332323</v>
      </c>
      <c r="N166" s="2">
        <v>-0.025827567602675326</v>
      </c>
      <c r="P166" s="2">
        <f t="shared" si="8"/>
        <v>-0.6450599485470887</v>
      </c>
      <c r="R166">
        <v>0.03995125363047508</v>
      </c>
    </row>
    <row r="167" spans="1:18" ht="12.75">
      <c r="A167" s="1">
        <f>DATE(1960,8,1)</f>
        <v>22129</v>
      </c>
      <c r="B167">
        <v>1960</v>
      </c>
      <c r="C167">
        <v>8</v>
      </c>
      <c r="D167">
        <v>2.29</v>
      </c>
      <c r="F167" s="3">
        <f>DATE(1960,8,1)</f>
        <v>22129</v>
      </c>
      <c r="G167">
        <v>29.6</v>
      </c>
      <c r="H167">
        <v>29.61</v>
      </c>
      <c r="I167" s="2">
        <f t="shared" si="6"/>
        <v>1.0020304568527918</v>
      </c>
      <c r="J167" s="2">
        <f t="shared" si="7"/>
        <v>4.8103677185164395</v>
      </c>
      <c r="N167" s="2">
        <v>-0.0036445813249653294</v>
      </c>
      <c r="P167" s="2">
        <f t="shared" si="8"/>
        <v>4.058069303783207</v>
      </c>
      <c r="R167">
        <v>-0.03763172790109932</v>
      </c>
    </row>
    <row r="168" spans="1:18" ht="12.75">
      <c r="A168" s="1">
        <f>DATE(1960,9,1)</f>
        <v>22160</v>
      </c>
      <c r="B168">
        <v>1960</v>
      </c>
      <c r="C168">
        <v>9</v>
      </c>
      <c r="D168">
        <v>2.49</v>
      </c>
      <c r="F168" s="3">
        <f>DATE(1960,9,1)</f>
        <v>22160</v>
      </c>
      <c r="G168">
        <v>29.6</v>
      </c>
      <c r="H168">
        <v>29.61</v>
      </c>
      <c r="I168" s="2">
        <f t="shared" si="6"/>
        <v>1</v>
      </c>
      <c r="J168" s="2">
        <f t="shared" si="7"/>
        <v>0.02543000474446444</v>
      </c>
      <c r="N168" s="2">
        <v>-0.010620400377725466</v>
      </c>
      <c r="P168" s="2">
        <f t="shared" si="8"/>
        <v>-4.784937713771975</v>
      </c>
      <c r="R168">
        <v>0.025184895146390697</v>
      </c>
    </row>
    <row r="169" spans="1:18" ht="12.75">
      <c r="A169" s="1">
        <f>DATE(1960,10,1)</f>
        <v>22190</v>
      </c>
      <c r="B169">
        <v>1960</v>
      </c>
      <c r="C169">
        <v>10</v>
      </c>
      <c r="D169">
        <v>2.43</v>
      </c>
      <c r="F169" s="3">
        <f>DATE(1960,10,1)</f>
        <v>22190</v>
      </c>
      <c r="G169">
        <v>29.8</v>
      </c>
      <c r="H169">
        <v>29.75</v>
      </c>
      <c r="I169" s="2">
        <f t="shared" si="6"/>
        <v>1.0047281323877069</v>
      </c>
      <c r="J169" s="2">
        <f t="shared" si="7"/>
        <v>2.429999999999999</v>
      </c>
      <c r="N169" s="2">
        <v>0.010810458091544801</v>
      </c>
      <c r="P169" s="2">
        <f t="shared" si="8"/>
        <v>2.4045699952555344</v>
      </c>
      <c r="R169">
        <v>-0.02724713380137474</v>
      </c>
    </row>
    <row r="170" spans="1:18" ht="12.75">
      <c r="A170" s="1">
        <f>DATE(1960,11,1)</f>
        <v>22221</v>
      </c>
      <c r="B170">
        <v>1960</v>
      </c>
      <c r="C170">
        <v>11</v>
      </c>
      <c r="D170">
        <v>2.39</v>
      </c>
      <c r="F170" s="3">
        <f>DATE(1960,11,1)</f>
        <v>22221</v>
      </c>
      <c r="G170">
        <v>29.8</v>
      </c>
      <c r="H170">
        <v>29.78</v>
      </c>
      <c r="I170" s="2">
        <f t="shared" si="6"/>
        <v>1.0010084033613447</v>
      </c>
      <c r="J170" s="2">
        <f t="shared" si="7"/>
        <v>-3.2446939742926784</v>
      </c>
      <c r="N170" s="2">
        <v>-0.015922212491339092</v>
      </c>
      <c r="P170" s="2">
        <f t="shared" si="8"/>
        <v>-5.674693974292677</v>
      </c>
      <c r="R170">
        <v>0.045441435500931035</v>
      </c>
    </row>
    <row r="171" spans="1:18" ht="12.75">
      <c r="A171" s="1">
        <f>DATE(1960,12,1)</f>
        <v>22251</v>
      </c>
      <c r="B171">
        <v>1960</v>
      </c>
      <c r="C171">
        <v>12</v>
      </c>
      <c r="D171">
        <v>2.27</v>
      </c>
      <c r="F171" s="3">
        <f>DATE(1960,12,1)</f>
        <v>22251</v>
      </c>
      <c r="G171">
        <v>29.8</v>
      </c>
      <c r="H171">
        <v>29.81</v>
      </c>
      <c r="I171" s="2">
        <f t="shared" si="6"/>
        <v>1.001007387508395</v>
      </c>
      <c r="J171" s="2">
        <f t="shared" si="7"/>
        <v>1.0405207215903989</v>
      </c>
      <c r="N171" s="2">
        <v>0.01211810039139432</v>
      </c>
      <c r="P171" s="2">
        <f t="shared" si="8"/>
        <v>4.285214695883077</v>
      </c>
      <c r="R171">
        <v>-0.05390844579004367</v>
      </c>
    </row>
    <row r="172" spans="1:18" ht="12.75">
      <c r="A172" s="1">
        <f>DATE(1961,1,1)</f>
        <v>22282</v>
      </c>
      <c r="B172">
        <v>1961</v>
      </c>
      <c r="C172">
        <v>1</v>
      </c>
      <c r="D172">
        <v>2.3</v>
      </c>
      <c r="F172" s="3">
        <f>DATE(1961,1,1)</f>
        <v>22282</v>
      </c>
      <c r="G172">
        <v>29.8</v>
      </c>
      <c r="H172">
        <v>29.84</v>
      </c>
      <c r="I172" s="2">
        <f t="shared" si="6"/>
        <v>1.0010063737001007</v>
      </c>
      <c r="J172" s="2">
        <f t="shared" si="7"/>
        <v>1.0713909007087352</v>
      </c>
      <c r="N172" s="2">
        <v>-0.03646056846679139</v>
      </c>
      <c r="P172" s="2">
        <f t="shared" si="8"/>
        <v>0.03087017911833634</v>
      </c>
      <c r="R172">
        <v>0.0795428059511271</v>
      </c>
    </row>
    <row r="173" spans="1:18" ht="12.75">
      <c r="A173" s="1">
        <f>DATE(1961,2,1)</f>
        <v>22313</v>
      </c>
      <c r="B173">
        <v>1961</v>
      </c>
      <c r="C173">
        <v>2</v>
      </c>
      <c r="D173">
        <v>2.41</v>
      </c>
      <c r="F173" s="3">
        <f>DATE(1961,2,1)</f>
        <v>22313</v>
      </c>
      <c r="G173">
        <v>29.8</v>
      </c>
      <c r="H173">
        <v>29.84</v>
      </c>
      <c r="I173" s="2">
        <f t="shared" si="6"/>
        <v>1</v>
      </c>
      <c r="J173" s="2">
        <f t="shared" si="7"/>
        <v>1.1812995113069436</v>
      </c>
      <c r="N173" s="2">
        <v>-0.046053287146641204</v>
      </c>
      <c r="P173" s="2">
        <f t="shared" si="8"/>
        <v>0.10990861059820833</v>
      </c>
      <c r="R173">
        <v>-0.03952283058857753</v>
      </c>
    </row>
    <row r="174" spans="1:18" ht="12.75">
      <c r="A174" s="1">
        <f>DATE(1961,3,1)</f>
        <v>22341</v>
      </c>
      <c r="B174">
        <v>1961</v>
      </c>
      <c r="C174">
        <v>3</v>
      </c>
      <c r="D174">
        <v>2.42</v>
      </c>
      <c r="F174" s="3">
        <f>DATE(1961,3,1)</f>
        <v>22341</v>
      </c>
      <c r="G174">
        <v>29.8</v>
      </c>
      <c r="H174">
        <v>29.84</v>
      </c>
      <c r="I174" s="2">
        <f t="shared" si="6"/>
        <v>1</v>
      </c>
      <c r="J174" s="2">
        <f t="shared" si="7"/>
        <v>2.42</v>
      </c>
      <c r="N174" s="2">
        <v>-0.013260939310894481</v>
      </c>
      <c r="P174" s="2">
        <f t="shared" si="8"/>
        <v>1.2387004886930564</v>
      </c>
      <c r="R174">
        <v>-0.04332472199178389</v>
      </c>
    </row>
    <row r="175" spans="1:18" ht="12.75">
      <c r="A175" s="1">
        <f>DATE(1961,4,1)</f>
        <v>22372</v>
      </c>
      <c r="B175">
        <v>1961</v>
      </c>
      <c r="C175">
        <v>4</v>
      </c>
      <c r="D175">
        <v>2.33</v>
      </c>
      <c r="F175" s="3">
        <f>DATE(1961,4,1)</f>
        <v>22372</v>
      </c>
      <c r="G175">
        <v>29.8</v>
      </c>
      <c r="H175">
        <v>29.81</v>
      </c>
      <c r="I175" s="2">
        <f t="shared" si="6"/>
        <v>0.998994638069705</v>
      </c>
      <c r="J175" s="2">
        <f t="shared" si="7"/>
        <v>2.33000000000001</v>
      </c>
      <c r="N175" s="2">
        <v>-0.018775623128592357</v>
      </c>
      <c r="P175" s="2">
        <f t="shared" si="8"/>
        <v>-0.08999999999999009</v>
      </c>
      <c r="R175">
        <v>0.03736611270919945</v>
      </c>
    </row>
    <row r="176" spans="1:18" ht="12.75">
      <c r="A176" s="1">
        <f>DATE(1961,5,1)</f>
        <v>22402</v>
      </c>
      <c r="B176">
        <v>1961</v>
      </c>
      <c r="C176">
        <v>5</v>
      </c>
      <c r="D176">
        <v>2.29</v>
      </c>
      <c r="F176" s="3">
        <f>DATE(1961,5,1)</f>
        <v>22402</v>
      </c>
      <c r="G176">
        <v>29.8</v>
      </c>
      <c r="H176">
        <v>29.84</v>
      </c>
      <c r="I176" s="2">
        <f t="shared" si="6"/>
        <v>1.0010063737001007</v>
      </c>
      <c r="J176" s="2">
        <f t="shared" si="7"/>
        <v>3.5321640520080466</v>
      </c>
      <c r="N176" s="2">
        <v>0.0037817895106230003</v>
      </c>
      <c r="P176" s="2">
        <f t="shared" si="8"/>
        <v>1.2021640520080368</v>
      </c>
      <c r="R176">
        <v>-0.028761391371983656</v>
      </c>
    </row>
    <row r="177" spans="1:18" ht="12.75">
      <c r="A177" s="1">
        <f>DATE(1961,6,1)</f>
        <v>22433</v>
      </c>
      <c r="B177">
        <v>1961</v>
      </c>
      <c r="C177">
        <v>6</v>
      </c>
      <c r="D177">
        <v>2.36</v>
      </c>
      <c r="F177" s="3">
        <f>DATE(1961,6,1)</f>
        <v>22433</v>
      </c>
      <c r="G177">
        <v>29.8</v>
      </c>
      <c r="H177">
        <v>29.84</v>
      </c>
      <c r="I177" s="2">
        <f t="shared" si="6"/>
        <v>1</v>
      </c>
      <c r="J177" s="2">
        <f t="shared" si="7"/>
        <v>1.1318994041341401</v>
      </c>
      <c r="N177" s="2">
        <v>0.013925101642582531</v>
      </c>
      <c r="P177" s="2">
        <f t="shared" si="8"/>
        <v>-2.4002646478739065</v>
      </c>
      <c r="R177">
        <v>0.011887824625042525</v>
      </c>
    </row>
    <row r="178" spans="1:18" ht="12.75">
      <c r="A178" s="1">
        <f>DATE(1961,7,1)</f>
        <v>22463</v>
      </c>
      <c r="B178">
        <v>1961</v>
      </c>
      <c r="C178">
        <v>7</v>
      </c>
      <c r="D178">
        <v>2.27</v>
      </c>
      <c r="F178" s="3">
        <f>DATE(1961,7,1)</f>
        <v>22463</v>
      </c>
      <c r="G178">
        <v>30</v>
      </c>
      <c r="H178">
        <v>29.92</v>
      </c>
      <c r="I178" s="2">
        <f t="shared" si="6"/>
        <v>1.002680965147453</v>
      </c>
      <c r="J178" s="2">
        <f t="shared" si="7"/>
        <v>2.2699999999999942</v>
      </c>
      <c r="N178" s="2">
        <v>-0.017969967693166066</v>
      </c>
      <c r="P178" s="2">
        <f t="shared" si="8"/>
        <v>1.138100595865854</v>
      </c>
      <c r="R178">
        <v>0.04661622533959355</v>
      </c>
    </row>
    <row r="179" spans="1:18" ht="12.75">
      <c r="A179" s="1">
        <f>DATE(1961,8,1)</f>
        <v>22494</v>
      </c>
      <c r="B179">
        <v>1961</v>
      </c>
      <c r="C179">
        <v>8</v>
      </c>
      <c r="D179">
        <v>2.4</v>
      </c>
      <c r="F179" s="3">
        <f>DATE(1961,8,1)</f>
        <v>22494</v>
      </c>
      <c r="G179">
        <v>29.9</v>
      </c>
      <c r="H179">
        <v>29.94</v>
      </c>
      <c r="I179" s="2">
        <f t="shared" si="6"/>
        <v>1.000668449197861</v>
      </c>
      <c r="J179" s="2">
        <f t="shared" si="7"/>
        <v>-0.8376724703413774</v>
      </c>
      <c r="N179" s="2">
        <v>-0.04927815085353781</v>
      </c>
      <c r="P179" s="2">
        <f t="shared" si="8"/>
        <v>-3.1076724703413716</v>
      </c>
      <c r="R179">
        <v>-0.003194280360163552</v>
      </c>
    </row>
    <row r="180" spans="1:18" ht="12.75">
      <c r="A180" s="1">
        <f>DATE(1961,9,1)</f>
        <v>22525</v>
      </c>
      <c r="B180">
        <v>1961</v>
      </c>
      <c r="C180">
        <v>9</v>
      </c>
      <c r="D180">
        <v>2.3</v>
      </c>
      <c r="F180" s="3">
        <f>DATE(1961,9,1)</f>
        <v>22525</v>
      </c>
      <c r="G180">
        <v>30</v>
      </c>
      <c r="H180">
        <v>29.98</v>
      </c>
      <c r="I180" s="2">
        <f t="shared" si="6"/>
        <v>1.0013360053440215</v>
      </c>
      <c r="J180" s="2">
        <f t="shared" si="7"/>
        <v>1.4829660606020534</v>
      </c>
      <c r="N180" s="2">
        <v>-0.02609185350460658</v>
      </c>
      <c r="P180" s="2">
        <f t="shared" si="8"/>
        <v>2.3206385309434308</v>
      </c>
      <c r="R180">
        <v>-0.05447979281322808</v>
      </c>
    </row>
    <row r="181" spans="1:18" ht="12.75">
      <c r="A181" s="1">
        <f>DATE(1961,10,1)</f>
        <v>22555</v>
      </c>
      <c r="B181">
        <v>1961</v>
      </c>
      <c r="C181">
        <v>10</v>
      </c>
      <c r="D181">
        <v>2.35</v>
      </c>
      <c r="F181" s="3">
        <f>DATE(1961,10,1)</f>
        <v>22555</v>
      </c>
      <c r="G181">
        <v>30</v>
      </c>
      <c r="H181">
        <v>29.98</v>
      </c>
      <c r="I181" s="2">
        <f t="shared" si="6"/>
        <v>1</v>
      </c>
      <c r="J181" s="2">
        <f t="shared" si="7"/>
        <v>0.7232793128276516</v>
      </c>
      <c r="N181" s="2">
        <v>-0.043759284046990046</v>
      </c>
      <c r="P181" s="2">
        <f t="shared" si="8"/>
        <v>-0.7596867477744018</v>
      </c>
      <c r="R181">
        <v>0.041389756020143574</v>
      </c>
    </row>
    <row r="182" spans="1:18" ht="12.75">
      <c r="A182" s="1">
        <f>DATE(1961,11,1)</f>
        <v>22586</v>
      </c>
      <c r="B182">
        <v>1961</v>
      </c>
      <c r="C182">
        <v>11</v>
      </c>
      <c r="D182">
        <v>2.46</v>
      </c>
      <c r="F182" s="3">
        <f>DATE(1961,11,1)</f>
        <v>22586</v>
      </c>
      <c r="G182">
        <v>30</v>
      </c>
      <c r="H182">
        <v>29.98</v>
      </c>
      <c r="I182" s="2">
        <f t="shared" si="6"/>
        <v>1</v>
      </c>
      <c r="J182" s="2">
        <f t="shared" si="7"/>
        <v>2.4599999999999955</v>
      </c>
      <c r="N182" s="2">
        <v>-0.04116359144114889</v>
      </c>
      <c r="P182" s="2">
        <f t="shared" si="8"/>
        <v>1.736720687172344</v>
      </c>
      <c r="R182">
        <v>-0.020100781716195008</v>
      </c>
    </row>
    <row r="183" spans="1:18" ht="12.75">
      <c r="A183" s="1">
        <f>DATE(1961,12,1)</f>
        <v>22616</v>
      </c>
      <c r="B183">
        <v>1961</v>
      </c>
      <c r="C183">
        <v>12</v>
      </c>
      <c r="D183">
        <v>2.62</v>
      </c>
      <c r="F183" s="3">
        <f>DATE(1961,12,1)</f>
        <v>22616</v>
      </c>
      <c r="G183">
        <v>30</v>
      </c>
      <c r="H183">
        <v>30.01</v>
      </c>
      <c r="I183" s="2">
        <f t="shared" si="6"/>
        <v>1.0010006671114076</v>
      </c>
      <c r="J183" s="2">
        <f t="shared" si="7"/>
        <v>2.62</v>
      </c>
      <c r="N183" s="2">
        <v>-0.03383191165111916</v>
      </c>
      <c r="P183" s="2">
        <f t="shared" si="8"/>
        <v>0.16000000000000458</v>
      </c>
      <c r="R183">
        <v>-0.004756186092119109</v>
      </c>
    </row>
    <row r="184" spans="1:18" ht="12.75">
      <c r="A184" s="1">
        <f>DATE(1962,1,1)</f>
        <v>22647</v>
      </c>
      <c r="B184">
        <v>1962</v>
      </c>
      <c r="C184">
        <v>1</v>
      </c>
      <c r="D184">
        <v>2.75</v>
      </c>
      <c r="F184" s="3">
        <f>DATE(1962,1,1)</f>
        <v>22647</v>
      </c>
      <c r="G184">
        <v>30</v>
      </c>
      <c r="H184">
        <v>30.04</v>
      </c>
      <c r="I184" s="2">
        <f t="shared" si="6"/>
        <v>1.0009996667777408</v>
      </c>
      <c r="J184" s="2">
        <f t="shared" si="7"/>
        <v>1.524165312607506</v>
      </c>
      <c r="N184" s="2">
        <v>-0.015138083009073815</v>
      </c>
      <c r="P184" s="2">
        <f t="shared" si="8"/>
        <v>-1.095834687392494</v>
      </c>
      <c r="R184">
        <v>-0.012870248833348247</v>
      </c>
    </row>
    <row r="185" spans="1:18" ht="12.75">
      <c r="A185" s="1">
        <f>DATE(1962,2,1)</f>
        <v>22678</v>
      </c>
      <c r="B185">
        <v>1962</v>
      </c>
      <c r="C185">
        <v>2</v>
      </c>
      <c r="D185">
        <v>2.76</v>
      </c>
      <c r="F185" s="3">
        <f>DATE(1962,2,1)</f>
        <v>22678</v>
      </c>
      <c r="G185">
        <v>30.1</v>
      </c>
      <c r="H185">
        <v>30.11</v>
      </c>
      <c r="I185" s="2">
        <f t="shared" si="6"/>
        <v>1.0023302263648468</v>
      </c>
      <c r="J185" s="2">
        <f t="shared" si="7"/>
        <v>1.535263614556337</v>
      </c>
      <c r="N185" s="2">
        <v>0.017269002975842728</v>
      </c>
      <c r="P185" s="2">
        <f t="shared" si="8"/>
        <v>0.01109830194883088</v>
      </c>
      <c r="R185">
        <v>-0.013879273968885969</v>
      </c>
    </row>
    <row r="186" spans="1:18" ht="12.75">
      <c r="A186" s="1">
        <f>DATE(1962,3,1)</f>
        <v>22706</v>
      </c>
      <c r="B186">
        <v>1962</v>
      </c>
      <c r="C186">
        <v>3</v>
      </c>
      <c r="D186">
        <v>2.72</v>
      </c>
      <c r="F186" s="3">
        <f>DATE(1962,3,1)</f>
        <v>22706</v>
      </c>
      <c r="G186">
        <v>30.1</v>
      </c>
      <c r="H186">
        <v>30.17</v>
      </c>
      <c r="I186" s="2">
        <f t="shared" si="6"/>
        <v>1.0019926934573231</v>
      </c>
      <c r="J186" s="2">
        <f t="shared" si="7"/>
        <v>-0.10929355293750609</v>
      </c>
      <c r="N186" s="2">
        <v>0.003877794228987975</v>
      </c>
      <c r="P186" s="2">
        <f t="shared" si="8"/>
        <v>-1.644557167493843</v>
      </c>
      <c r="R186">
        <v>0.045729522961735575</v>
      </c>
    </row>
    <row r="187" spans="1:18" ht="12.75">
      <c r="A187" s="1">
        <f>DATE(1962,4,1)</f>
        <v>22737</v>
      </c>
      <c r="B187">
        <v>1962</v>
      </c>
      <c r="C187">
        <v>4</v>
      </c>
      <c r="D187">
        <v>2.74</v>
      </c>
      <c r="F187" s="3">
        <f>DATE(1962,4,1)</f>
        <v>22737</v>
      </c>
      <c r="G187">
        <v>30.2</v>
      </c>
      <c r="H187">
        <v>30.21</v>
      </c>
      <c r="I187" s="2">
        <f t="shared" si="6"/>
        <v>1.0013258203513424</v>
      </c>
      <c r="J187" s="2">
        <f t="shared" si="7"/>
        <v>0.31477547311475895</v>
      </c>
      <c r="N187" s="2">
        <v>0.010464304482904458</v>
      </c>
      <c r="P187" s="2">
        <f t="shared" si="8"/>
        <v>0.42406902605226504</v>
      </c>
      <c r="R187">
        <v>-0.02053654204147971</v>
      </c>
    </row>
    <row r="188" spans="1:18" ht="12.75">
      <c r="A188" s="1">
        <f>DATE(1962,5,1)</f>
        <v>22767</v>
      </c>
      <c r="B188">
        <v>1962</v>
      </c>
      <c r="C188">
        <v>5</v>
      </c>
      <c r="D188">
        <v>2.7</v>
      </c>
      <c r="F188" s="3">
        <f>DATE(1962,5,1)</f>
        <v>22767</v>
      </c>
      <c r="G188">
        <v>30.2</v>
      </c>
      <c r="H188">
        <v>30.24</v>
      </c>
      <c r="I188" s="2">
        <f t="shared" si="6"/>
        <v>1.0009930486593843</v>
      </c>
      <c r="J188" s="2">
        <f t="shared" si="7"/>
        <v>1.0800533382306687</v>
      </c>
      <c r="N188" s="2">
        <v>-0.030728766321191935</v>
      </c>
      <c r="P188" s="2">
        <f t="shared" si="8"/>
        <v>0.7652778651159098</v>
      </c>
      <c r="R188">
        <v>0.051252680067154034</v>
      </c>
    </row>
    <row r="189" spans="1:18" ht="12.75">
      <c r="A189" s="1">
        <f>DATE(1962,6,1)</f>
        <v>22798</v>
      </c>
      <c r="B189">
        <v>1962</v>
      </c>
      <c r="C189">
        <v>6</v>
      </c>
      <c r="D189">
        <v>2.72</v>
      </c>
      <c r="F189" s="3">
        <f>DATE(1962,6,1)</f>
        <v>22798</v>
      </c>
      <c r="G189">
        <v>30.2</v>
      </c>
      <c r="H189">
        <v>30.21</v>
      </c>
      <c r="I189" s="2">
        <f t="shared" si="6"/>
        <v>0.9990079365079366</v>
      </c>
      <c r="J189" s="2">
        <f t="shared" si="7"/>
        <v>1.5037931773151936</v>
      </c>
      <c r="N189" s="2">
        <v>-0.043374701834549376</v>
      </c>
      <c r="P189" s="2">
        <f t="shared" si="8"/>
        <v>0.42373983908452484</v>
      </c>
      <c r="R189">
        <v>-0.02909497880552706</v>
      </c>
    </row>
    <row r="190" spans="1:18" ht="12.75">
      <c r="A190" s="1">
        <f>DATE(1962,7,1)</f>
        <v>22828</v>
      </c>
      <c r="B190">
        <v>1962</v>
      </c>
      <c r="C190">
        <v>7</v>
      </c>
      <c r="D190">
        <v>2.94</v>
      </c>
      <c r="F190" s="3">
        <f>DATE(1962,7,1)</f>
        <v>22828</v>
      </c>
      <c r="G190">
        <v>30.3</v>
      </c>
      <c r="H190">
        <v>30.22</v>
      </c>
      <c r="I190" s="2">
        <f t="shared" si="6"/>
        <v>1.0003310162197947</v>
      </c>
      <c r="J190" s="2">
        <f t="shared" si="7"/>
        <v>4.173415288317939</v>
      </c>
      <c r="N190" s="2">
        <v>-0.03902408429887866</v>
      </c>
      <c r="P190" s="2">
        <f t="shared" si="8"/>
        <v>2.669622111002745</v>
      </c>
      <c r="R190">
        <v>-0.016419780210217626</v>
      </c>
    </row>
    <row r="191" spans="1:18" ht="12.75">
      <c r="A191" s="1">
        <f>DATE(1962,8,1)</f>
        <v>22859</v>
      </c>
      <c r="B191">
        <v>1962</v>
      </c>
      <c r="C191">
        <v>8</v>
      </c>
      <c r="D191">
        <v>2.84</v>
      </c>
      <c r="F191" s="3">
        <f>DATE(1962,8,1)</f>
        <v>22859</v>
      </c>
      <c r="G191">
        <v>30.3</v>
      </c>
      <c r="H191">
        <v>30.28</v>
      </c>
      <c r="I191" s="2">
        <f t="shared" si="6"/>
        <v>1.0019854401058903</v>
      </c>
      <c r="J191" s="2">
        <f t="shared" si="7"/>
        <v>2.4323770793220234</v>
      </c>
      <c r="N191" s="2">
        <v>-0.02152889271512961</v>
      </c>
      <c r="P191" s="2">
        <f t="shared" si="8"/>
        <v>-1.7410382089959153</v>
      </c>
      <c r="R191">
        <v>-0.01518074506597671</v>
      </c>
    </row>
    <row r="192" spans="1:18" ht="12.75">
      <c r="A192" s="1">
        <f>DATE(1962,9,1)</f>
        <v>22890</v>
      </c>
      <c r="B192">
        <v>1962</v>
      </c>
      <c r="C192">
        <v>9</v>
      </c>
      <c r="D192">
        <v>2.79</v>
      </c>
      <c r="F192" s="3">
        <f>DATE(1962,9,1)</f>
        <v>22890</v>
      </c>
      <c r="G192">
        <v>30.4</v>
      </c>
      <c r="H192">
        <v>30.42</v>
      </c>
      <c r="I192" s="2">
        <f t="shared" si="6"/>
        <v>1.0046235138705417</v>
      </c>
      <c r="J192" s="2">
        <f t="shared" si="7"/>
        <v>0.37231390679448584</v>
      </c>
      <c r="N192" s="2">
        <v>0.01828996715352295</v>
      </c>
      <c r="P192" s="2">
        <f t="shared" si="8"/>
        <v>-2.0600631725275376</v>
      </c>
      <c r="R192">
        <v>-0.025250906183441543</v>
      </c>
    </row>
    <row r="193" spans="1:18" ht="12.75">
      <c r="A193" s="1">
        <f>DATE(1962,10,1)</f>
        <v>22920</v>
      </c>
      <c r="B193">
        <v>1962</v>
      </c>
      <c r="C193">
        <v>10</v>
      </c>
      <c r="D193">
        <v>2.75</v>
      </c>
      <c r="F193" s="3">
        <f>DATE(1962,10,1)</f>
        <v>22920</v>
      </c>
      <c r="G193">
        <v>30.4</v>
      </c>
      <c r="H193">
        <v>30.38</v>
      </c>
      <c r="I193" s="2">
        <f t="shared" si="6"/>
        <v>0.9986850756081525</v>
      </c>
      <c r="J193" s="2">
        <f t="shared" si="7"/>
        <v>-2.7831010141909474</v>
      </c>
      <c r="N193" s="2">
        <v>-0.01779169296392767</v>
      </c>
      <c r="P193" s="2">
        <f t="shared" si="8"/>
        <v>-3.155414920985433</v>
      </c>
      <c r="R193">
        <v>0.07644089508577352</v>
      </c>
    </row>
    <row r="194" spans="1:18" ht="12.75">
      <c r="A194" s="1">
        <f>DATE(1962,11,1)</f>
        <v>22951</v>
      </c>
      <c r="B194">
        <v>1962</v>
      </c>
      <c r="C194">
        <v>11</v>
      </c>
      <c r="D194">
        <v>2.8</v>
      </c>
      <c r="F194" s="3">
        <f>DATE(1962,11,1)</f>
        <v>22951</v>
      </c>
      <c r="G194">
        <v>30.4</v>
      </c>
      <c r="H194">
        <v>30.38</v>
      </c>
      <c r="I194" s="2">
        <f t="shared" si="6"/>
        <v>1</v>
      </c>
      <c r="J194" s="2">
        <f t="shared" si="7"/>
        <v>4.436040248381512</v>
      </c>
      <c r="N194" s="2">
        <v>0.0027615489981454274</v>
      </c>
      <c r="P194" s="2">
        <f t="shared" si="8"/>
        <v>7.219141262572459</v>
      </c>
      <c r="R194">
        <v>-0.0528063987802365</v>
      </c>
    </row>
    <row r="195" spans="1:18" ht="12.75">
      <c r="A195" s="1">
        <f>DATE(1962,12,1)</f>
        <v>22981</v>
      </c>
      <c r="B195">
        <v>1962</v>
      </c>
      <c r="C195">
        <v>12</v>
      </c>
      <c r="D195">
        <v>2.86</v>
      </c>
      <c r="F195" s="3">
        <f>DATE(1962,12,1)</f>
        <v>22981</v>
      </c>
      <c r="G195">
        <v>30.4</v>
      </c>
      <c r="H195">
        <v>30.38</v>
      </c>
      <c r="I195" s="2">
        <f t="shared" si="6"/>
        <v>1</v>
      </c>
      <c r="J195" s="2">
        <f t="shared" si="7"/>
        <v>2.859999999999996</v>
      </c>
      <c r="N195" s="2">
        <v>-0.02651434288827234</v>
      </c>
      <c r="P195" s="2">
        <f t="shared" si="8"/>
        <v>-1.5760402483815161</v>
      </c>
      <c r="R195">
        <v>0.0501869437899679</v>
      </c>
    </row>
    <row r="196" spans="1:18" ht="12.75">
      <c r="A196" s="1">
        <f>DATE(1963,1,1)</f>
        <v>23012</v>
      </c>
      <c r="B196">
        <v>1963</v>
      </c>
      <c r="C196">
        <v>1</v>
      </c>
      <c r="D196">
        <v>2.91</v>
      </c>
      <c r="F196" s="3">
        <f>DATE(1963,1,1)</f>
        <v>23012</v>
      </c>
      <c r="G196">
        <v>30.4</v>
      </c>
      <c r="H196">
        <v>30.44</v>
      </c>
      <c r="I196" s="2">
        <f t="shared" si="6"/>
        <v>1.001974983541804</v>
      </c>
      <c r="J196" s="2">
        <f t="shared" si="7"/>
        <v>2.9099999999999904</v>
      </c>
      <c r="N196" s="2">
        <v>-0.008807849680983785</v>
      </c>
      <c r="P196" s="2">
        <f t="shared" si="8"/>
        <v>0.04999999999999449</v>
      </c>
      <c r="R196">
        <v>-0.0484615274717864</v>
      </c>
    </row>
    <row r="197" spans="1:18" ht="12.75">
      <c r="A197" s="1">
        <f>DATE(1963,2,1)</f>
        <v>23043</v>
      </c>
      <c r="B197">
        <v>1963</v>
      </c>
      <c r="C197">
        <v>2</v>
      </c>
      <c r="D197">
        <v>2.92</v>
      </c>
      <c r="F197" s="3">
        <f>DATE(1963,2,1)</f>
        <v>23043</v>
      </c>
      <c r="G197">
        <v>30.4</v>
      </c>
      <c r="H197">
        <v>30.48</v>
      </c>
      <c r="I197" s="2">
        <f t="shared" si="6"/>
        <v>1.0013140604467805</v>
      </c>
      <c r="J197" s="2">
        <f t="shared" si="7"/>
        <v>0.511842613107194</v>
      </c>
      <c r="N197" s="2">
        <v>0.010675025410709948</v>
      </c>
      <c r="P197" s="2">
        <f t="shared" si="8"/>
        <v>-2.3981573868927963</v>
      </c>
      <c r="R197">
        <v>-0.0047085832339740195</v>
      </c>
    </row>
    <row r="198" spans="1:18" ht="12.75">
      <c r="A198" s="1">
        <f>DATE(1963,3,1)</f>
        <v>23071</v>
      </c>
      <c r="B198">
        <v>1963</v>
      </c>
      <c r="C198">
        <v>3</v>
      </c>
      <c r="D198">
        <v>2.9</v>
      </c>
      <c r="F198" s="3">
        <f>DATE(1963,3,1)</f>
        <v>23071</v>
      </c>
      <c r="G198">
        <v>30.5</v>
      </c>
      <c r="H198">
        <v>30.51</v>
      </c>
      <c r="I198" s="2">
        <f aca="true" t="shared" si="9" ref="I198:I261">H198/H197</f>
        <v>1.000984251968504</v>
      </c>
      <c r="J198" s="2">
        <f t="shared" si="7"/>
        <v>1.2911728681896717</v>
      </c>
      <c r="N198" s="2">
        <v>-0.012395411845367275</v>
      </c>
      <c r="P198" s="2">
        <f t="shared" si="8"/>
        <v>0.7793302550824777</v>
      </c>
      <c r="R198">
        <v>0.044991430314229613</v>
      </c>
    </row>
    <row r="199" spans="1:18" ht="12.75">
      <c r="A199" s="1">
        <f>DATE(1963,4,1)</f>
        <v>23102</v>
      </c>
      <c r="B199">
        <v>1963</v>
      </c>
      <c r="C199">
        <v>4</v>
      </c>
      <c r="D199">
        <v>2.91</v>
      </c>
      <c r="F199" s="3">
        <f>DATE(1963,4,1)</f>
        <v>23102</v>
      </c>
      <c r="G199">
        <v>30.5</v>
      </c>
      <c r="H199">
        <v>30.48</v>
      </c>
      <c r="I199" s="2">
        <f t="shared" si="9"/>
        <v>0.999016715830875</v>
      </c>
      <c r="J199" s="2">
        <f aca="true" t="shared" si="10" ref="J199:J262">((1+D199/100)/(I198^12)-1)*100</f>
        <v>1.7022681256630978</v>
      </c>
      <c r="N199" s="2">
        <v>-0.0095281324287517</v>
      </c>
      <c r="P199" s="2">
        <f t="shared" si="8"/>
        <v>0.4110952574734261</v>
      </c>
      <c r="R199">
        <v>-0.0258633898520371</v>
      </c>
    </row>
    <row r="200" spans="1:18" ht="12.75">
      <c r="A200" s="1">
        <f>DATE(1963,5,1)</f>
        <v>23132</v>
      </c>
      <c r="B200">
        <v>1963</v>
      </c>
      <c r="C200">
        <v>5</v>
      </c>
      <c r="D200">
        <v>2.92</v>
      </c>
      <c r="F200" s="3">
        <f>DATE(1963,5,1)</f>
        <v>23132</v>
      </c>
      <c r="G200">
        <v>30.5</v>
      </c>
      <c r="H200">
        <v>30.51</v>
      </c>
      <c r="I200" s="2">
        <f t="shared" si="9"/>
        <v>1.000984251968504</v>
      </c>
      <c r="J200" s="2">
        <f t="shared" si="10"/>
        <v>4.142192649166576</v>
      </c>
      <c r="N200" s="2">
        <v>-0.010360394363138688</v>
      </c>
      <c r="P200" s="2">
        <f aca="true" t="shared" si="11" ref="P200:P263">J200-J199</f>
        <v>2.4399245235034783</v>
      </c>
      <c r="R200">
        <v>0.00582040569155156</v>
      </c>
    </row>
    <row r="201" spans="1:18" ht="12.75">
      <c r="A201" s="1">
        <f>DATE(1963,6,1)</f>
        <v>23163</v>
      </c>
      <c r="B201">
        <v>1963</v>
      </c>
      <c r="C201">
        <v>6</v>
      </c>
      <c r="D201">
        <v>3</v>
      </c>
      <c r="F201" s="3">
        <f>DATE(1963,6,1)</f>
        <v>23163</v>
      </c>
      <c r="G201">
        <v>30.6</v>
      </c>
      <c r="H201">
        <v>30.61</v>
      </c>
      <c r="I201" s="2">
        <f t="shared" si="9"/>
        <v>1.003277613897083</v>
      </c>
      <c r="J201" s="2">
        <f t="shared" si="10"/>
        <v>1.7912119030541351</v>
      </c>
      <c r="N201" s="2">
        <v>-0.014415564932779035</v>
      </c>
      <c r="P201" s="2">
        <f t="shared" si="11"/>
        <v>-2.350980746112441</v>
      </c>
      <c r="R201">
        <v>0.00202352957214358</v>
      </c>
    </row>
    <row r="202" spans="1:18" ht="12.75">
      <c r="A202" s="1">
        <f>DATE(1963,7,1)</f>
        <v>23193</v>
      </c>
      <c r="B202">
        <v>1963</v>
      </c>
      <c r="C202">
        <v>7</v>
      </c>
      <c r="D202">
        <v>3.14</v>
      </c>
      <c r="F202" s="3">
        <f>DATE(1963,7,1)</f>
        <v>23193</v>
      </c>
      <c r="G202">
        <v>30.7</v>
      </c>
      <c r="H202">
        <v>30.69</v>
      </c>
      <c r="I202" s="2">
        <f t="shared" si="9"/>
        <v>1.0026135249918329</v>
      </c>
      <c r="J202" s="2">
        <f t="shared" si="10"/>
        <v>-0.8315184119933372</v>
      </c>
      <c r="N202" s="2">
        <v>0.005755699260726041</v>
      </c>
      <c r="P202" s="2">
        <f t="shared" si="11"/>
        <v>-2.6227303150474723</v>
      </c>
      <c r="R202">
        <v>-0.026922105487208508</v>
      </c>
    </row>
    <row r="203" spans="1:18" ht="12.75">
      <c r="A203" s="1">
        <f>DATE(1963,8,1)</f>
        <v>23224</v>
      </c>
      <c r="B203">
        <v>1963</v>
      </c>
      <c r="C203">
        <v>8</v>
      </c>
      <c r="D203">
        <v>3.32</v>
      </c>
      <c r="F203" s="3">
        <f>DATE(1963,8,1)</f>
        <v>23224</v>
      </c>
      <c r="G203">
        <v>30.7</v>
      </c>
      <c r="H203">
        <v>30.75</v>
      </c>
      <c r="I203" s="2">
        <f t="shared" si="9"/>
        <v>1.0019550342130987</v>
      </c>
      <c r="J203" s="2">
        <f t="shared" si="10"/>
        <v>0.13402915366123036</v>
      </c>
      <c r="N203" s="2">
        <v>0.0003024671455754395</v>
      </c>
      <c r="P203" s="2">
        <f t="shared" si="11"/>
        <v>0.9655475656545676</v>
      </c>
      <c r="R203">
        <v>0.02615637521571913</v>
      </c>
    </row>
    <row r="204" spans="1:18" ht="12.75">
      <c r="A204" s="1">
        <f>DATE(1963,9,1)</f>
        <v>23255</v>
      </c>
      <c r="B204">
        <v>1963</v>
      </c>
      <c r="C204">
        <v>9</v>
      </c>
      <c r="D204">
        <v>3.38</v>
      </c>
      <c r="F204" s="3">
        <f>DATE(1963,9,1)</f>
        <v>23255</v>
      </c>
      <c r="G204">
        <v>30.7</v>
      </c>
      <c r="H204">
        <v>30.72</v>
      </c>
      <c r="I204" s="2">
        <f t="shared" si="9"/>
        <v>0.9990243902439024</v>
      </c>
      <c r="J204" s="2">
        <f t="shared" si="10"/>
        <v>0.9852041269386103</v>
      </c>
      <c r="N204" s="2">
        <v>-0.02395420169505948</v>
      </c>
      <c r="P204" s="2">
        <f t="shared" si="11"/>
        <v>0.8511749732773799</v>
      </c>
      <c r="R204">
        <v>0.020317845051144458</v>
      </c>
    </row>
    <row r="205" spans="1:18" ht="12.75">
      <c r="A205" s="1">
        <f>DATE(1963,10,1)</f>
        <v>23285</v>
      </c>
      <c r="B205">
        <v>1963</v>
      </c>
      <c r="C205">
        <v>10</v>
      </c>
      <c r="D205">
        <v>3.45</v>
      </c>
      <c r="F205" s="3">
        <f>DATE(1963,10,1)</f>
        <v>23285</v>
      </c>
      <c r="G205">
        <v>30.8</v>
      </c>
      <c r="H205">
        <v>30.75</v>
      </c>
      <c r="I205" s="2">
        <f t="shared" si="9"/>
        <v>1.0009765625</v>
      </c>
      <c r="J205" s="2">
        <f t="shared" si="10"/>
        <v>4.668837332246634</v>
      </c>
      <c r="N205" s="2">
        <v>0.02299223832080355</v>
      </c>
      <c r="P205" s="2">
        <f t="shared" si="11"/>
        <v>3.6836332053080234</v>
      </c>
      <c r="R205">
        <v>-0.07014203132913413</v>
      </c>
    </row>
    <row r="206" spans="1:18" ht="12.75">
      <c r="A206" s="1">
        <f>DATE(1963,11,1)</f>
        <v>23316</v>
      </c>
      <c r="B206">
        <v>1963</v>
      </c>
      <c r="C206">
        <v>11</v>
      </c>
      <c r="D206">
        <v>3.52</v>
      </c>
      <c r="F206" s="3">
        <f>DATE(1963,11,1)</f>
        <v>23316</v>
      </c>
      <c r="G206">
        <v>30.8</v>
      </c>
      <c r="H206">
        <v>30.78</v>
      </c>
      <c r="I206" s="2">
        <f t="shared" si="9"/>
        <v>1.0009756097560976</v>
      </c>
      <c r="J206" s="2">
        <f t="shared" si="10"/>
        <v>2.314540535177012</v>
      </c>
      <c r="N206" s="2">
        <v>-0.00014479059507864467</v>
      </c>
      <c r="P206" s="2">
        <f t="shared" si="11"/>
        <v>-2.3542967970696216</v>
      </c>
      <c r="R206">
        <v>0.07027957512812213</v>
      </c>
    </row>
    <row r="207" spans="1:18" ht="12.75">
      <c r="A207" s="1">
        <f>DATE(1963,12,1)</f>
        <v>23346</v>
      </c>
      <c r="B207">
        <v>1963</v>
      </c>
      <c r="C207">
        <v>12</v>
      </c>
      <c r="D207">
        <v>3.52</v>
      </c>
      <c r="F207" s="3">
        <f>DATE(1963,12,1)</f>
        <v>23346</v>
      </c>
      <c r="G207">
        <v>30.9</v>
      </c>
      <c r="H207">
        <v>30.88</v>
      </c>
      <c r="I207" s="2">
        <f t="shared" si="9"/>
        <v>1.0032488628979856</v>
      </c>
      <c r="J207" s="2">
        <f t="shared" si="10"/>
        <v>2.315709155838497</v>
      </c>
      <c r="N207" s="2">
        <v>0.03660126237939995</v>
      </c>
      <c r="P207" s="2">
        <f t="shared" si="11"/>
        <v>0.0011686206614847094</v>
      </c>
      <c r="R207">
        <v>-0.06234097275869934</v>
      </c>
    </row>
    <row r="208" spans="1:18" ht="12.75">
      <c r="A208" s="1">
        <f>DATE(1964,1,1)</f>
        <v>23377</v>
      </c>
      <c r="B208">
        <v>1964</v>
      </c>
      <c r="C208">
        <v>1</v>
      </c>
      <c r="D208">
        <v>3.53</v>
      </c>
      <c r="F208" s="3">
        <f>DATE(1964,1,1)</f>
        <v>23377</v>
      </c>
      <c r="G208">
        <v>30.9</v>
      </c>
      <c r="H208">
        <v>30.94</v>
      </c>
      <c r="I208" s="2">
        <f t="shared" si="9"/>
        <v>1.0019430051813472</v>
      </c>
      <c r="J208" s="2">
        <f t="shared" si="10"/>
        <v>-0.42229792001605704</v>
      </c>
      <c r="N208" s="2">
        <v>0.013201442593598133</v>
      </c>
      <c r="P208" s="2">
        <f t="shared" si="11"/>
        <v>-2.738007075854554</v>
      </c>
      <c r="R208">
        <v>0.06021559221265951</v>
      </c>
    </row>
    <row r="209" spans="1:18" ht="12.75">
      <c r="A209" s="1">
        <f>DATE(1964,2,1)</f>
        <v>23408</v>
      </c>
      <c r="B209">
        <v>1964</v>
      </c>
      <c r="C209">
        <v>2</v>
      </c>
      <c r="D209">
        <v>3.53</v>
      </c>
      <c r="F209" s="3">
        <f>DATE(1964,2,1)</f>
        <v>23408</v>
      </c>
      <c r="G209">
        <v>30.9</v>
      </c>
      <c r="H209">
        <v>30.91</v>
      </c>
      <c r="I209" s="2">
        <f t="shared" si="9"/>
        <v>0.9990303813833226</v>
      </c>
      <c r="J209" s="2">
        <f t="shared" si="10"/>
        <v>1.1463002337278372</v>
      </c>
      <c r="N209" s="2">
        <v>-0.012868217335730863</v>
      </c>
      <c r="P209" s="2">
        <f t="shared" si="11"/>
        <v>1.5685981537438942</v>
      </c>
      <c r="R209">
        <v>0.0035684562209188347</v>
      </c>
    </row>
    <row r="210" spans="1:18" ht="12.75">
      <c r="A210" s="1">
        <f>DATE(1964,3,1)</f>
        <v>23437</v>
      </c>
      <c r="B210">
        <v>1964</v>
      </c>
      <c r="C210">
        <v>3</v>
      </c>
      <c r="D210">
        <v>3.55</v>
      </c>
      <c r="F210" s="3">
        <f>DATE(1964,3,1)</f>
        <v>23437</v>
      </c>
      <c r="G210">
        <v>30.9</v>
      </c>
      <c r="H210">
        <v>30.94</v>
      </c>
      <c r="I210" s="2">
        <f t="shared" si="9"/>
        <v>1.000970559689421</v>
      </c>
      <c r="J210" s="2">
        <f t="shared" si="10"/>
        <v>4.762476158918827</v>
      </c>
      <c r="N210" s="2">
        <v>-0.04383438512458016</v>
      </c>
      <c r="P210" s="2">
        <f t="shared" si="11"/>
        <v>3.6161759251909897</v>
      </c>
      <c r="R210">
        <v>0.009275809349917407</v>
      </c>
    </row>
    <row r="211" spans="1:18" ht="12.75">
      <c r="A211" s="1">
        <f>DATE(1964,4,1)</f>
        <v>23468</v>
      </c>
      <c r="B211">
        <v>1964</v>
      </c>
      <c r="C211">
        <v>4</v>
      </c>
      <c r="D211">
        <v>3.48</v>
      </c>
      <c r="F211" s="3">
        <f>DATE(1964,4,1)</f>
        <v>23468</v>
      </c>
      <c r="G211">
        <v>30.9</v>
      </c>
      <c r="H211">
        <v>30.95</v>
      </c>
      <c r="I211" s="2">
        <f t="shared" si="9"/>
        <v>1.0003232062055591</v>
      </c>
      <c r="J211" s="2">
        <f t="shared" si="10"/>
        <v>2.2823666724467895</v>
      </c>
      <c r="N211" s="2">
        <v>-0.013398173969680908</v>
      </c>
      <c r="P211" s="2">
        <f t="shared" si="11"/>
        <v>-2.4801094864720374</v>
      </c>
      <c r="R211">
        <v>-0.06488835372831714</v>
      </c>
    </row>
    <row r="212" spans="1:18" ht="12.75">
      <c r="A212" s="1">
        <f>DATE(1964,5,1)</f>
        <v>23498</v>
      </c>
      <c r="B212">
        <v>1964</v>
      </c>
      <c r="C212">
        <v>5</v>
      </c>
      <c r="D212">
        <v>3.48</v>
      </c>
      <c r="F212" s="3">
        <f>DATE(1964,5,1)</f>
        <v>23498</v>
      </c>
      <c r="G212">
        <v>30.9</v>
      </c>
      <c r="H212">
        <v>30.98</v>
      </c>
      <c r="I212" s="2">
        <f t="shared" si="9"/>
        <v>1.0009693053311794</v>
      </c>
      <c r="J212" s="2">
        <f t="shared" si="10"/>
        <v>3.079497352782634</v>
      </c>
      <c r="N212" s="2">
        <v>-0.015742246280929875</v>
      </c>
      <c r="P212" s="2">
        <f t="shared" si="11"/>
        <v>0.7971306803358447</v>
      </c>
      <c r="R212">
        <v>0.03261709985831988</v>
      </c>
    </row>
    <row r="213" spans="1:18" ht="12.75">
      <c r="A213" s="1">
        <f>DATE(1964,6,1)</f>
        <v>23529</v>
      </c>
      <c r="B213">
        <v>1964</v>
      </c>
      <c r="C213">
        <v>6</v>
      </c>
      <c r="D213">
        <v>3.48</v>
      </c>
      <c r="F213" s="3">
        <f>DATE(1964,6,1)</f>
        <v>23529</v>
      </c>
      <c r="G213">
        <v>31</v>
      </c>
      <c r="H213">
        <v>31.01</v>
      </c>
      <c r="I213" s="2">
        <f t="shared" si="9"/>
        <v>1.000968366688186</v>
      </c>
      <c r="J213" s="2">
        <f t="shared" si="10"/>
        <v>2.283904776920309</v>
      </c>
      <c r="N213" s="2">
        <v>0.015350232617700644</v>
      </c>
      <c r="P213" s="2">
        <f t="shared" si="11"/>
        <v>-0.795592575862325</v>
      </c>
      <c r="R213">
        <v>-0.035523623035181015</v>
      </c>
    </row>
    <row r="214" spans="1:18" ht="12.75">
      <c r="A214" s="1">
        <f>DATE(1964,7,1)</f>
        <v>23559</v>
      </c>
      <c r="B214">
        <v>1964</v>
      </c>
      <c r="C214">
        <v>7</v>
      </c>
      <c r="D214">
        <v>3.48</v>
      </c>
      <c r="F214" s="3">
        <f>DATE(1964,7,1)</f>
        <v>23559</v>
      </c>
      <c r="G214">
        <v>31.1</v>
      </c>
      <c r="H214">
        <v>31.02</v>
      </c>
      <c r="I214" s="2">
        <f t="shared" si="9"/>
        <v>1.000322476620445</v>
      </c>
      <c r="J214" s="2">
        <f t="shared" si="10"/>
        <v>2.2850557651305614</v>
      </c>
      <c r="N214" s="2">
        <v>0.03304496592584354</v>
      </c>
      <c r="P214" s="2">
        <f t="shared" si="11"/>
        <v>0.0011509882102522795</v>
      </c>
      <c r="R214">
        <v>0.014336478479745795</v>
      </c>
    </row>
    <row r="215" spans="1:18" ht="12.75">
      <c r="A215" s="1">
        <f>DATE(1964,8,1)</f>
        <v>23590</v>
      </c>
      <c r="B215">
        <v>1964</v>
      </c>
      <c r="C215">
        <v>8</v>
      </c>
      <c r="D215">
        <v>3.51</v>
      </c>
      <c r="F215" s="3">
        <f>DATE(1964,8,1)</f>
        <v>23590</v>
      </c>
      <c r="G215">
        <v>31</v>
      </c>
      <c r="H215">
        <v>31.05</v>
      </c>
      <c r="I215" s="2">
        <f t="shared" si="9"/>
        <v>1.0009671179883946</v>
      </c>
      <c r="J215" s="2">
        <f t="shared" si="10"/>
        <v>3.1102836800644074</v>
      </c>
      <c r="N215" s="2">
        <v>0.017482516797934673</v>
      </c>
      <c r="P215" s="2">
        <f t="shared" si="11"/>
        <v>0.825227914933846</v>
      </c>
      <c r="R215">
        <v>0.03348890564535951</v>
      </c>
    </row>
    <row r="216" spans="1:18" ht="12.75">
      <c r="A216" s="1">
        <f>DATE(1964,9,1)</f>
        <v>23621</v>
      </c>
      <c r="B216">
        <v>1964</v>
      </c>
      <c r="C216">
        <v>9</v>
      </c>
      <c r="D216">
        <v>3.53</v>
      </c>
      <c r="F216" s="3">
        <f>DATE(1964,9,1)</f>
        <v>23621</v>
      </c>
      <c r="G216">
        <v>31.1</v>
      </c>
      <c r="H216">
        <v>31.08</v>
      </c>
      <c r="I216" s="2">
        <f t="shared" si="9"/>
        <v>1.000966183574879</v>
      </c>
      <c r="J216" s="2">
        <f t="shared" si="10"/>
        <v>2.3360103352603856</v>
      </c>
      <c r="N216" s="2">
        <v>0.016377284908232603</v>
      </c>
      <c r="P216" s="2">
        <f t="shared" si="11"/>
        <v>-0.7742733448040218</v>
      </c>
      <c r="R216">
        <v>-0.015049594388204362</v>
      </c>
    </row>
    <row r="217" spans="1:18" ht="12.75">
      <c r="A217" s="1">
        <f>DATE(1964,10,1)</f>
        <v>23651</v>
      </c>
      <c r="B217">
        <v>1964</v>
      </c>
      <c r="C217">
        <v>10</v>
      </c>
      <c r="D217">
        <v>3.58</v>
      </c>
      <c r="F217" s="3">
        <f>DATE(1964,10,1)</f>
        <v>23651</v>
      </c>
      <c r="G217">
        <v>31.1</v>
      </c>
      <c r="H217">
        <v>31.12</v>
      </c>
      <c r="I217" s="2">
        <f t="shared" si="9"/>
        <v>1.0012870012870014</v>
      </c>
      <c r="J217" s="2">
        <f t="shared" si="10"/>
        <v>2.3865806375355403</v>
      </c>
      <c r="N217" s="2">
        <v>0.009271097014549695</v>
      </c>
      <c r="P217" s="2">
        <f t="shared" si="11"/>
        <v>0.05057030227515469</v>
      </c>
      <c r="R217">
        <v>0.008139424144925678</v>
      </c>
    </row>
    <row r="218" spans="1:18" ht="12.75">
      <c r="A218" s="1">
        <f>DATE(1964,11,1)</f>
        <v>23682</v>
      </c>
      <c r="B218">
        <v>1964</v>
      </c>
      <c r="C218">
        <v>11</v>
      </c>
      <c r="D218">
        <v>3.62</v>
      </c>
      <c r="F218" s="3">
        <f>DATE(1964,11,1)</f>
        <v>23682</v>
      </c>
      <c r="G218">
        <v>31.2</v>
      </c>
      <c r="H218">
        <v>31.21</v>
      </c>
      <c r="I218" s="2">
        <f t="shared" si="9"/>
        <v>1.0028920308483291</v>
      </c>
      <c r="J218" s="2">
        <f t="shared" si="10"/>
        <v>2.032998498689542</v>
      </c>
      <c r="N218" s="2">
        <v>0.014104114956463321</v>
      </c>
      <c r="P218" s="2">
        <f t="shared" si="11"/>
        <v>-0.3535821388459981</v>
      </c>
      <c r="R218">
        <v>-0.014159280035194507</v>
      </c>
    </row>
    <row r="219" spans="1:18" ht="12.75">
      <c r="A219" s="1">
        <f>DATE(1964,12,1)</f>
        <v>23712</v>
      </c>
      <c r="B219">
        <v>1964</v>
      </c>
      <c r="C219">
        <v>12</v>
      </c>
      <c r="D219">
        <v>3.86</v>
      </c>
      <c r="F219" s="3">
        <f>DATE(1964,12,1)</f>
        <v>23712</v>
      </c>
      <c r="G219">
        <v>31.2</v>
      </c>
      <c r="H219">
        <v>31.25</v>
      </c>
      <c r="I219" s="2">
        <f t="shared" si="9"/>
        <v>1.0012816404998397</v>
      </c>
      <c r="J219" s="2">
        <f t="shared" si="10"/>
        <v>0.3224556491295383</v>
      </c>
      <c r="N219" s="2">
        <v>-0.010962746196751477</v>
      </c>
      <c r="P219" s="2">
        <f t="shared" si="11"/>
        <v>-1.710542849560004</v>
      </c>
      <c r="R219">
        <v>0.03009000859195624</v>
      </c>
    </row>
    <row r="220" spans="1:18" ht="12.75">
      <c r="A220" s="1">
        <f>DATE(1965,1,1)</f>
        <v>23743</v>
      </c>
      <c r="B220">
        <v>1965</v>
      </c>
      <c r="C220">
        <v>1</v>
      </c>
      <c r="D220">
        <v>3.83</v>
      </c>
      <c r="F220" s="3">
        <f>DATE(1965,1,1)</f>
        <v>23743</v>
      </c>
      <c r="G220">
        <v>31.2</v>
      </c>
      <c r="H220">
        <v>31.28</v>
      </c>
      <c r="I220" s="2">
        <f t="shared" si="9"/>
        <v>1.00096</v>
      </c>
      <c r="J220" s="2">
        <f t="shared" si="10"/>
        <v>2.2463510280304355</v>
      </c>
      <c r="N220" s="2">
        <v>-0.014535151760035047</v>
      </c>
      <c r="P220" s="2">
        <f t="shared" si="11"/>
        <v>1.9238953789008972</v>
      </c>
      <c r="R220">
        <v>-0.019666084861004986</v>
      </c>
    </row>
    <row r="221" spans="1:18" ht="12.75">
      <c r="A221" s="1">
        <f>DATE(1965,2,1)</f>
        <v>23774</v>
      </c>
      <c r="B221">
        <v>1965</v>
      </c>
      <c r="C221">
        <v>2</v>
      </c>
      <c r="D221">
        <v>3.93</v>
      </c>
      <c r="F221" s="3">
        <f>DATE(1965,2,1)</f>
        <v>23774</v>
      </c>
      <c r="G221">
        <v>31.2</v>
      </c>
      <c r="H221">
        <v>31.28</v>
      </c>
      <c r="I221" s="2">
        <f t="shared" si="9"/>
        <v>1</v>
      </c>
      <c r="J221" s="2">
        <f t="shared" si="10"/>
        <v>2.740164037363857</v>
      </c>
      <c r="N221" s="2">
        <v>-0.027313908147963768</v>
      </c>
      <c r="P221" s="2">
        <f t="shared" si="11"/>
        <v>0.4938130093334214</v>
      </c>
      <c r="R221">
        <v>0.01143603903280235</v>
      </c>
    </row>
    <row r="222" spans="1:18" ht="12.75">
      <c r="A222" s="1">
        <f>DATE(1965,3,1)</f>
        <v>23802</v>
      </c>
      <c r="B222">
        <v>1965</v>
      </c>
      <c r="C222">
        <v>3</v>
      </c>
      <c r="D222">
        <v>3.94</v>
      </c>
      <c r="F222" s="3">
        <f>DATE(1965,3,1)</f>
        <v>23802</v>
      </c>
      <c r="G222">
        <v>31.3</v>
      </c>
      <c r="H222">
        <v>31.31</v>
      </c>
      <c r="I222" s="2">
        <f t="shared" si="9"/>
        <v>1.0009590792838874</v>
      </c>
      <c r="J222" s="2">
        <f t="shared" si="10"/>
        <v>3.94000000000001</v>
      </c>
      <c r="N222" s="2">
        <v>0.013124528522894861</v>
      </c>
      <c r="P222" s="2">
        <f t="shared" si="11"/>
        <v>1.1998359626361532</v>
      </c>
      <c r="R222">
        <v>-0.054913394924589</v>
      </c>
    </row>
    <row r="223" spans="1:18" ht="12.75">
      <c r="A223" s="1">
        <f>DATE(1965,4,1)</f>
        <v>23833</v>
      </c>
      <c r="B223">
        <v>1965</v>
      </c>
      <c r="C223">
        <v>4</v>
      </c>
      <c r="D223">
        <v>3.93</v>
      </c>
      <c r="F223" s="3">
        <f>DATE(1965,4,1)</f>
        <v>23833</v>
      </c>
      <c r="G223">
        <v>31.4</v>
      </c>
      <c r="H223">
        <v>31.38</v>
      </c>
      <c r="I223" s="2">
        <f t="shared" si="9"/>
        <v>1.0022357074417119</v>
      </c>
      <c r="J223" s="2">
        <f t="shared" si="10"/>
        <v>2.741298089753874</v>
      </c>
      <c r="N223" s="2">
        <v>0.019098134669155067</v>
      </c>
      <c r="P223" s="2">
        <f t="shared" si="11"/>
        <v>-1.198701910246136</v>
      </c>
      <c r="R223">
        <v>0.03242683943870709</v>
      </c>
    </row>
    <row r="224" spans="1:18" ht="12.75">
      <c r="A224" s="1">
        <f>DATE(1965,5,1)</f>
        <v>23863</v>
      </c>
      <c r="B224">
        <v>1965</v>
      </c>
      <c r="C224">
        <v>5</v>
      </c>
      <c r="D224">
        <v>3.9</v>
      </c>
      <c r="F224" s="3">
        <f>DATE(1965,5,1)</f>
        <v>23863</v>
      </c>
      <c r="G224">
        <v>31.4</v>
      </c>
      <c r="H224">
        <v>31.48</v>
      </c>
      <c r="I224" s="2">
        <f t="shared" si="9"/>
        <v>1.0031867431485022</v>
      </c>
      <c r="J224" s="2">
        <f t="shared" si="10"/>
        <v>1.152608782423803</v>
      </c>
      <c r="N224" s="2">
        <v>0.018554561457307356</v>
      </c>
      <c r="P224" s="2">
        <f t="shared" si="11"/>
        <v>-1.5886893073300712</v>
      </c>
      <c r="R224">
        <v>0.00386890555384492</v>
      </c>
    </row>
    <row r="225" spans="1:18" ht="12.75">
      <c r="A225" s="1">
        <f>DATE(1965,6,1)</f>
        <v>23894</v>
      </c>
      <c r="B225">
        <v>1965</v>
      </c>
      <c r="C225">
        <v>6</v>
      </c>
      <c r="D225">
        <v>3.81</v>
      </c>
      <c r="F225" s="3">
        <f>DATE(1965,6,1)</f>
        <v>23894</v>
      </c>
      <c r="G225">
        <v>31.6</v>
      </c>
      <c r="H225">
        <v>31.61</v>
      </c>
      <c r="I225" s="2">
        <f t="shared" si="9"/>
        <v>1.0041296060991105</v>
      </c>
      <c r="J225" s="2">
        <f t="shared" si="10"/>
        <v>-0.07876853276385098</v>
      </c>
      <c r="N225" s="2">
        <v>4.511934608409858E-05</v>
      </c>
      <c r="P225" s="2">
        <f t="shared" si="11"/>
        <v>-1.231377315187654</v>
      </c>
      <c r="R225">
        <v>0.018804176026707514</v>
      </c>
    </row>
    <row r="226" spans="1:18" ht="12.75">
      <c r="A226" s="1">
        <f>DATE(1965,7,1)</f>
        <v>23924</v>
      </c>
      <c r="B226">
        <v>1965</v>
      </c>
      <c r="C226">
        <v>7</v>
      </c>
      <c r="D226">
        <v>3.83</v>
      </c>
      <c r="F226" s="3">
        <f>DATE(1965,7,1)</f>
        <v>23924</v>
      </c>
      <c r="G226">
        <v>31.6</v>
      </c>
      <c r="H226">
        <v>31.58</v>
      </c>
      <c r="I226" s="2">
        <f t="shared" si="9"/>
        <v>0.9990509332489718</v>
      </c>
      <c r="J226" s="2">
        <f t="shared" si="10"/>
        <v>-1.179831930964148</v>
      </c>
      <c r="N226" s="2">
        <v>-0.01563572945911812</v>
      </c>
      <c r="P226" s="2">
        <f t="shared" si="11"/>
        <v>-1.101063398200297</v>
      </c>
      <c r="R226">
        <v>-0.004347640890739989</v>
      </c>
    </row>
    <row r="227" spans="1:18" ht="12.75">
      <c r="A227" s="1">
        <f>DATE(1965,8,1)</f>
        <v>23955</v>
      </c>
      <c r="B227">
        <v>1965</v>
      </c>
      <c r="C227">
        <v>8</v>
      </c>
      <c r="D227">
        <v>3.84</v>
      </c>
      <c r="F227" s="3">
        <f>DATE(1965,8,1)</f>
        <v>23955</v>
      </c>
      <c r="G227">
        <v>31.6</v>
      </c>
      <c r="H227">
        <v>31.55</v>
      </c>
      <c r="I227" s="2">
        <f t="shared" si="9"/>
        <v>0.9990500316656112</v>
      </c>
      <c r="J227" s="2">
        <f t="shared" si="10"/>
        <v>5.029940985913628</v>
      </c>
      <c r="N227" s="2">
        <v>-0.0024667151777964438</v>
      </c>
      <c r="P227" s="2">
        <f t="shared" si="11"/>
        <v>6.209772916877776</v>
      </c>
      <c r="R227">
        <v>-0.023822429356240613</v>
      </c>
    </row>
    <row r="228" spans="1:18" ht="12.75">
      <c r="A228" s="1">
        <f>DATE(1965,9,1)</f>
        <v>23986</v>
      </c>
      <c r="B228">
        <v>1965</v>
      </c>
      <c r="C228">
        <v>9</v>
      </c>
      <c r="D228">
        <v>3.91</v>
      </c>
      <c r="F228" s="3">
        <f>DATE(1965,9,1)</f>
        <v>23986</v>
      </c>
      <c r="G228">
        <v>31.6</v>
      </c>
      <c r="H228">
        <v>31.62</v>
      </c>
      <c r="I228" s="2">
        <f t="shared" si="9"/>
        <v>1.002218700475436</v>
      </c>
      <c r="J228" s="2">
        <f t="shared" si="10"/>
        <v>5.101881313662471</v>
      </c>
      <c r="N228" s="2">
        <v>-0.018605957311656</v>
      </c>
      <c r="P228" s="2">
        <f t="shared" si="11"/>
        <v>0.07194032774884285</v>
      </c>
      <c r="R228">
        <v>0.031325667500832696</v>
      </c>
    </row>
    <row r="229" spans="1:18" ht="12.75">
      <c r="A229" s="1">
        <f>DATE(1965,10,1)</f>
        <v>24016</v>
      </c>
      <c r="B229">
        <v>1965</v>
      </c>
      <c r="C229">
        <v>10</v>
      </c>
      <c r="D229">
        <v>4.03</v>
      </c>
      <c r="F229" s="3">
        <f>DATE(1965,10,1)</f>
        <v>24016</v>
      </c>
      <c r="G229">
        <v>31.7</v>
      </c>
      <c r="H229">
        <v>31.65</v>
      </c>
      <c r="I229" s="2">
        <f t="shared" si="9"/>
        <v>1.0009487666034156</v>
      </c>
      <c r="J229" s="2">
        <f t="shared" si="10"/>
        <v>1.2997968226842627</v>
      </c>
      <c r="N229" s="2">
        <v>-0.018087915126140573</v>
      </c>
      <c r="P229" s="2">
        <f t="shared" si="11"/>
        <v>-3.802084490978208</v>
      </c>
      <c r="R229">
        <v>-0.02135801899274212</v>
      </c>
    </row>
    <row r="230" spans="1:18" ht="12.75">
      <c r="A230" s="1">
        <f>DATE(1965,11,1)</f>
        <v>24047</v>
      </c>
      <c r="B230">
        <v>1965</v>
      </c>
      <c r="C230">
        <v>11</v>
      </c>
      <c r="D230">
        <v>4.08</v>
      </c>
      <c r="F230" s="3">
        <f>DATE(1965,11,1)</f>
        <v>24047</v>
      </c>
      <c r="G230">
        <v>31.7</v>
      </c>
      <c r="H230">
        <v>31.75</v>
      </c>
      <c r="I230" s="2">
        <f t="shared" si="9"/>
        <v>1.0031595576619274</v>
      </c>
      <c r="J230" s="2">
        <f t="shared" si="10"/>
        <v>2.9023039215932966</v>
      </c>
      <c r="N230" s="2">
        <v>-0.025364746337454756</v>
      </c>
      <c r="P230" s="2">
        <f t="shared" si="11"/>
        <v>1.602507098909034</v>
      </c>
      <c r="R230">
        <v>0.01123542013767553</v>
      </c>
    </row>
    <row r="231" spans="1:18" ht="12.75">
      <c r="A231" s="1">
        <f>DATE(1965,12,1)</f>
        <v>24077</v>
      </c>
      <c r="B231">
        <v>1965</v>
      </c>
      <c r="C231">
        <v>12</v>
      </c>
      <c r="D231">
        <v>4.36</v>
      </c>
      <c r="F231" s="3">
        <f>DATE(1965,12,1)</f>
        <v>24077</v>
      </c>
      <c r="G231">
        <v>31.8</v>
      </c>
      <c r="H231">
        <v>31.85</v>
      </c>
      <c r="I231" s="2">
        <f t="shared" si="9"/>
        <v>1.0031496062992127</v>
      </c>
      <c r="J231" s="2">
        <f t="shared" si="10"/>
        <v>0.4832994723685813</v>
      </c>
      <c r="N231" s="2">
        <v>-0.019710918159249424</v>
      </c>
      <c r="P231" s="2">
        <f t="shared" si="11"/>
        <v>-2.4190044492247154</v>
      </c>
      <c r="R231">
        <v>-0.016735904504825375</v>
      </c>
    </row>
    <row r="232" spans="1:18" ht="12.75">
      <c r="A232" s="1">
        <f>DATE(1966,1,1)</f>
        <v>24108</v>
      </c>
      <c r="B232">
        <v>1966</v>
      </c>
      <c r="C232">
        <v>1</v>
      </c>
      <c r="D232">
        <v>4.6</v>
      </c>
      <c r="F232" s="3">
        <f>DATE(1966,1,1)</f>
        <v>24108</v>
      </c>
      <c r="G232">
        <v>31.8</v>
      </c>
      <c r="H232">
        <v>31.88</v>
      </c>
      <c r="I232" s="2">
        <f t="shared" si="9"/>
        <v>1.0009419152276295</v>
      </c>
      <c r="J232" s="2">
        <f t="shared" si="10"/>
        <v>0.7263739386353718</v>
      </c>
      <c r="N232" s="2">
        <v>0.006676349747289508</v>
      </c>
      <c r="P232" s="2">
        <f t="shared" si="11"/>
        <v>0.24307446626679052</v>
      </c>
      <c r="R232">
        <v>-0.02030248011729743</v>
      </c>
    </row>
    <row r="233" spans="1:18" ht="12.75">
      <c r="A233" s="1">
        <f>DATE(1966,2,1)</f>
        <v>24139</v>
      </c>
      <c r="B233">
        <v>1966</v>
      </c>
      <c r="C233">
        <v>2</v>
      </c>
      <c r="D233">
        <v>4.67</v>
      </c>
      <c r="F233" s="3">
        <f>DATE(1966,2,1)</f>
        <v>24139</v>
      </c>
      <c r="G233">
        <v>32</v>
      </c>
      <c r="H233">
        <v>32.08</v>
      </c>
      <c r="I233" s="2">
        <f t="shared" si="9"/>
        <v>1.0062735257214555</v>
      </c>
      <c r="J233" s="2">
        <f t="shared" si="10"/>
        <v>3.4941284371833303</v>
      </c>
      <c r="N233" s="2">
        <v>0.0002584633430364324</v>
      </c>
      <c r="P233" s="2">
        <f t="shared" si="11"/>
        <v>2.7677544985479585</v>
      </c>
      <c r="R233">
        <v>0.03615931568963572</v>
      </c>
    </row>
    <row r="234" spans="1:18" ht="12.75">
      <c r="A234" s="1">
        <f>DATE(1966,3,1)</f>
        <v>24167</v>
      </c>
      <c r="B234">
        <v>1966</v>
      </c>
      <c r="C234">
        <v>3</v>
      </c>
      <c r="D234">
        <v>4.63</v>
      </c>
      <c r="F234" s="3">
        <f>DATE(1966,3,1)</f>
        <v>24167</v>
      </c>
      <c r="G234">
        <v>32.1</v>
      </c>
      <c r="H234">
        <v>32.18</v>
      </c>
      <c r="I234" s="2">
        <f t="shared" si="9"/>
        <v>1.0031172069825436</v>
      </c>
      <c r="J234" s="2">
        <f t="shared" si="10"/>
        <v>-2.9347756534038982</v>
      </c>
      <c r="N234" s="2">
        <v>0.0174900084910639</v>
      </c>
      <c r="P234" s="2">
        <f t="shared" si="11"/>
        <v>-6.428904090587229</v>
      </c>
      <c r="R234">
        <v>-0.03134479005442492</v>
      </c>
    </row>
    <row r="235" spans="1:18" ht="12.75">
      <c r="A235" s="1">
        <f>DATE(1966,4,1)</f>
        <v>24198</v>
      </c>
      <c r="B235">
        <v>1966</v>
      </c>
      <c r="C235">
        <v>4</v>
      </c>
      <c r="D235">
        <v>4.61</v>
      </c>
      <c r="F235" s="3">
        <f>DATE(1966,4,1)</f>
        <v>24198</v>
      </c>
      <c r="G235">
        <v>32.3</v>
      </c>
      <c r="H235">
        <v>32.28</v>
      </c>
      <c r="I235" s="2">
        <f t="shared" si="9"/>
        <v>1.0031075201988813</v>
      </c>
      <c r="J235" s="2">
        <f t="shared" si="10"/>
        <v>0.7750541727605809</v>
      </c>
      <c r="N235" s="2">
        <v>0.0022312055136926917</v>
      </c>
      <c r="P235" s="2">
        <f t="shared" si="11"/>
        <v>3.709829826164479</v>
      </c>
      <c r="R235">
        <v>0.03634411032303561</v>
      </c>
    </row>
    <row r="236" spans="1:18" ht="12.75">
      <c r="A236" s="1">
        <f>DATE(1966,5,1)</f>
        <v>24228</v>
      </c>
      <c r="B236">
        <v>1966</v>
      </c>
      <c r="C236">
        <v>5</v>
      </c>
      <c r="D236">
        <v>4.64</v>
      </c>
      <c r="F236" s="3">
        <f>DATE(1966,5,1)</f>
        <v>24228</v>
      </c>
      <c r="G236">
        <v>32.3</v>
      </c>
      <c r="H236">
        <v>32.35</v>
      </c>
      <c r="I236" s="2">
        <f t="shared" si="9"/>
        <v>1.0021685254027262</v>
      </c>
      <c r="J236" s="2">
        <f t="shared" si="10"/>
        <v>0.8156363028084535</v>
      </c>
      <c r="N236" s="2">
        <v>-0.012261269094112867</v>
      </c>
      <c r="P236" s="2">
        <f t="shared" si="11"/>
        <v>0.04058213004787259</v>
      </c>
      <c r="R236">
        <v>0.0003661980779208307</v>
      </c>
    </row>
    <row r="237" spans="1:18" ht="12.75">
      <c r="A237" s="1">
        <f>DATE(1966,6,1)</f>
        <v>24259</v>
      </c>
      <c r="B237">
        <v>1966</v>
      </c>
      <c r="C237">
        <v>6</v>
      </c>
      <c r="D237">
        <v>4.54</v>
      </c>
      <c r="F237" s="3">
        <f>DATE(1966,6,1)</f>
        <v>24259</v>
      </c>
      <c r="G237">
        <v>32.4</v>
      </c>
      <c r="H237">
        <v>32.38</v>
      </c>
      <c r="I237" s="2">
        <f t="shared" si="9"/>
        <v>1.0009273570324575</v>
      </c>
      <c r="J237" s="2">
        <f t="shared" si="10"/>
        <v>1.8575881147857798</v>
      </c>
      <c r="N237" s="2">
        <v>-0.019635502427247476</v>
      </c>
      <c r="P237" s="2">
        <f t="shared" si="11"/>
        <v>1.0419518119773263</v>
      </c>
      <c r="R237">
        <v>-0.005561926035734652</v>
      </c>
    </row>
    <row r="238" spans="1:18" ht="12.75">
      <c r="A238" s="1">
        <f>DATE(1966,7,1)</f>
        <v>24289</v>
      </c>
      <c r="B238">
        <v>1966</v>
      </c>
      <c r="C238">
        <v>7</v>
      </c>
      <c r="D238">
        <v>4.86</v>
      </c>
      <c r="F238" s="3">
        <f>DATE(1966,7,1)</f>
        <v>24289</v>
      </c>
      <c r="G238">
        <v>32.5</v>
      </c>
      <c r="H238">
        <v>32.45</v>
      </c>
      <c r="I238" s="2">
        <f t="shared" si="9"/>
        <v>1.0021618282890674</v>
      </c>
      <c r="J238" s="2">
        <f t="shared" si="10"/>
        <v>3.700091699664032</v>
      </c>
      <c r="N238" s="2">
        <v>-0.023481412343173507</v>
      </c>
      <c r="P238" s="2">
        <f t="shared" si="11"/>
        <v>1.8425035848782523</v>
      </c>
      <c r="R238">
        <v>-0.0022927941707165784</v>
      </c>
    </row>
    <row r="239" spans="1:18" ht="12.75">
      <c r="A239" s="1">
        <f>DATE(1966,8,1)</f>
        <v>24320</v>
      </c>
      <c r="B239">
        <v>1966</v>
      </c>
      <c r="C239">
        <v>8</v>
      </c>
      <c r="D239">
        <v>4.93</v>
      </c>
      <c r="F239" s="3">
        <f>DATE(1966,8,1)</f>
        <v>24320</v>
      </c>
      <c r="G239">
        <v>32.7</v>
      </c>
      <c r="H239">
        <v>32.65</v>
      </c>
      <c r="I239" s="2">
        <f t="shared" si="9"/>
        <v>1.0061633281972264</v>
      </c>
      <c r="J239" s="2">
        <f t="shared" si="10"/>
        <v>2.2457799677843227</v>
      </c>
      <c r="N239" s="2">
        <v>-0.025111796874659094</v>
      </c>
      <c r="P239" s="2">
        <f t="shared" si="11"/>
        <v>-1.4543117318797094</v>
      </c>
      <c r="R239">
        <v>-0.0035907621116857877</v>
      </c>
    </row>
    <row r="240" spans="1:18" ht="12.75">
      <c r="A240" s="1">
        <f>DATE(1966,9,1)</f>
        <v>24351</v>
      </c>
      <c r="B240">
        <v>1966</v>
      </c>
      <c r="C240">
        <v>9</v>
      </c>
      <c r="D240">
        <v>5.36</v>
      </c>
      <c r="F240" s="3">
        <f>DATE(1966,9,1)</f>
        <v>24351</v>
      </c>
      <c r="G240">
        <v>32.7</v>
      </c>
      <c r="H240">
        <v>32.75</v>
      </c>
      <c r="I240" s="2">
        <f t="shared" si="9"/>
        <v>1.003062787136294</v>
      </c>
      <c r="J240" s="2">
        <f t="shared" si="10"/>
        <v>-2.1290174654926886</v>
      </c>
      <c r="N240" s="2">
        <v>-0.00390470994281128</v>
      </c>
      <c r="P240" s="2">
        <f t="shared" si="11"/>
        <v>-4.374797433277012</v>
      </c>
      <c r="R240">
        <v>-0.027622353935650417</v>
      </c>
    </row>
    <row r="241" spans="1:18" ht="12.75">
      <c r="A241" s="1">
        <f>DATE(1966,10,1)</f>
        <v>24381</v>
      </c>
      <c r="B241">
        <v>1966</v>
      </c>
      <c r="C241">
        <v>10</v>
      </c>
      <c r="D241">
        <v>5.39</v>
      </c>
      <c r="F241" s="3">
        <f>DATE(1966,10,1)</f>
        <v>24381</v>
      </c>
      <c r="G241">
        <v>32.9</v>
      </c>
      <c r="H241">
        <v>32.85</v>
      </c>
      <c r="I241" s="2">
        <f t="shared" si="9"/>
        <v>1.003053435114504</v>
      </c>
      <c r="J241" s="2">
        <f t="shared" si="10"/>
        <v>1.5925777302801203</v>
      </c>
      <c r="N241" s="2">
        <v>-0.027565792746919157</v>
      </c>
      <c r="P241" s="2">
        <f t="shared" si="11"/>
        <v>3.721595195772809</v>
      </c>
      <c r="R241">
        <v>0.05016962252814242</v>
      </c>
    </row>
    <row r="242" spans="1:18" ht="12.75">
      <c r="A242" s="1">
        <f>DATE(1966,11,1)</f>
        <v>24412</v>
      </c>
      <c r="B242">
        <v>1966</v>
      </c>
      <c r="C242">
        <v>11</v>
      </c>
      <c r="D242">
        <v>5.34</v>
      </c>
      <c r="F242" s="3">
        <f>DATE(1966,11,1)</f>
        <v>24412</v>
      </c>
      <c r="G242">
        <v>32.9</v>
      </c>
      <c r="H242">
        <v>32.88</v>
      </c>
      <c r="I242" s="2">
        <f t="shared" si="9"/>
        <v>1.0009132420091325</v>
      </c>
      <c r="J242" s="2">
        <f t="shared" si="10"/>
        <v>1.5557409702733116</v>
      </c>
      <c r="N242" s="2">
        <v>0.009379860958193953</v>
      </c>
      <c r="P242" s="2">
        <f t="shared" si="11"/>
        <v>-0.03683676000680869</v>
      </c>
      <c r="R242">
        <v>-0.06282370959488698</v>
      </c>
    </row>
    <row r="243" spans="1:18" ht="12.75">
      <c r="A243" s="1">
        <f>DATE(1966,12,1)</f>
        <v>24442</v>
      </c>
      <c r="B243">
        <v>1966</v>
      </c>
      <c r="C243">
        <v>12</v>
      </c>
      <c r="D243">
        <v>5.01</v>
      </c>
      <c r="F243" s="3">
        <f>DATE(1966,12,1)</f>
        <v>24442</v>
      </c>
      <c r="G243">
        <v>32.9</v>
      </c>
      <c r="H243">
        <v>32.92</v>
      </c>
      <c r="I243" s="2">
        <f t="shared" si="9"/>
        <v>1.0012165450121655</v>
      </c>
      <c r="J243" s="2">
        <f t="shared" si="10"/>
        <v>3.866007666031779</v>
      </c>
      <c r="N243" s="2">
        <v>0.007920372362044209</v>
      </c>
      <c r="P243" s="2">
        <f t="shared" si="11"/>
        <v>2.310266695758467</v>
      </c>
      <c r="R243">
        <v>0.04200117659345553</v>
      </c>
    </row>
    <row r="244" spans="1:18" ht="12.75">
      <c r="A244" s="1">
        <f>DATE(1967,1,1)</f>
        <v>24473</v>
      </c>
      <c r="B244">
        <v>1967</v>
      </c>
      <c r="C244">
        <v>1</v>
      </c>
      <c r="D244">
        <v>4.76</v>
      </c>
      <c r="F244" s="3">
        <f>DATE(1967,1,1)</f>
        <v>24473</v>
      </c>
      <c r="G244">
        <v>32.9</v>
      </c>
      <c r="H244">
        <v>32.9</v>
      </c>
      <c r="I244" s="2">
        <f t="shared" si="9"/>
        <v>0.9993924665856622</v>
      </c>
      <c r="J244" s="2">
        <f t="shared" si="10"/>
        <v>3.2426819352529224</v>
      </c>
      <c r="N244" s="2">
        <v>-0.020937231157297016</v>
      </c>
      <c r="P244" s="2">
        <f t="shared" si="11"/>
        <v>-0.6233257307788564</v>
      </c>
      <c r="R244">
        <v>0.02599816028794409</v>
      </c>
    </row>
    <row r="245" spans="1:18" ht="12.75">
      <c r="A245" s="1">
        <f>DATE(1967,2,1)</f>
        <v>24504</v>
      </c>
      <c r="B245">
        <v>1967</v>
      </c>
      <c r="C245">
        <v>2</v>
      </c>
      <c r="D245">
        <v>4.56</v>
      </c>
      <c r="F245" s="3">
        <f>DATE(1967,2,1)</f>
        <v>24504</v>
      </c>
      <c r="G245">
        <v>32.9</v>
      </c>
      <c r="H245">
        <v>33</v>
      </c>
      <c r="I245" s="2">
        <f t="shared" si="9"/>
        <v>1.0030395136778116</v>
      </c>
      <c r="J245" s="2">
        <f t="shared" si="10"/>
        <v>5.325303115401248</v>
      </c>
      <c r="N245" s="2">
        <v>0.00033278224341244417</v>
      </c>
      <c r="P245" s="2">
        <f t="shared" si="11"/>
        <v>2.082621180148325</v>
      </c>
      <c r="R245">
        <v>-0.04684515416320797</v>
      </c>
    </row>
    <row r="246" spans="1:18" ht="12.75">
      <c r="A246" s="1">
        <f>DATE(1967,3,1)</f>
        <v>24532</v>
      </c>
      <c r="B246">
        <v>1967</v>
      </c>
      <c r="C246">
        <v>3</v>
      </c>
      <c r="D246">
        <v>4.29</v>
      </c>
      <c r="F246" s="3">
        <f>DATE(1967,3,1)</f>
        <v>24532</v>
      </c>
      <c r="G246">
        <v>33</v>
      </c>
      <c r="H246">
        <v>33</v>
      </c>
      <c r="I246" s="2">
        <f t="shared" si="9"/>
        <v>1</v>
      </c>
      <c r="J246" s="2">
        <f t="shared" si="10"/>
        <v>0.5602083111889478</v>
      </c>
      <c r="N246" s="2">
        <v>-0.02265805225466119</v>
      </c>
      <c r="P246" s="2">
        <f t="shared" si="11"/>
        <v>-4.7650948042123</v>
      </c>
      <c r="R246">
        <v>0.04188049539369722</v>
      </c>
    </row>
    <row r="247" spans="1:18" ht="12.75">
      <c r="A247" s="1">
        <f>DATE(1967,4,1)</f>
        <v>24563</v>
      </c>
      <c r="B247">
        <v>1967</v>
      </c>
      <c r="C247">
        <v>4</v>
      </c>
      <c r="D247">
        <v>3.86</v>
      </c>
      <c r="F247" s="3">
        <f>DATE(1967,4,1)</f>
        <v>24563</v>
      </c>
      <c r="G247">
        <v>33.1</v>
      </c>
      <c r="H247">
        <v>33.1</v>
      </c>
      <c r="I247" s="2">
        <f t="shared" si="9"/>
        <v>1.0030303030303032</v>
      </c>
      <c r="J247" s="2">
        <f t="shared" si="10"/>
        <v>3.8599999999999968</v>
      </c>
      <c r="N247" s="2">
        <v>0.010261799774307577</v>
      </c>
      <c r="P247" s="2">
        <f t="shared" si="11"/>
        <v>3.299791688811049</v>
      </c>
      <c r="R247">
        <v>-0.0555432118118488</v>
      </c>
    </row>
    <row r="248" spans="1:18" ht="12.75">
      <c r="A248" s="1">
        <f>DATE(1967,5,1)</f>
        <v>24593</v>
      </c>
      <c r="B248">
        <v>1967</v>
      </c>
      <c r="C248">
        <v>5</v>
      </c>
      <c r="D248">
        <v>3.64</v>
      </c>
      <c r="F248" s="3">
        <f>DATE(1967,5,1)</f>
        <v>24593</v>
      </c>
      <c r="G248">
        <v>33.2</v>
      </c>
      <c r="H248">
        <v>33.1</v>
      </c>
      <c r="I248" s="2">
        <f t="shared" si="9"/>
        <v>1</v>
      </c>
      <c r="J248" s="2">
        <f t="shared" si="10"/>
        <v>-0.055532704145644374</v>
      </c>
      <c r="N248" s="2">
        <v>-0.011856544426419119</v>
      </c>
      <c r="P248" s="2">
        <f t="shared" si="11"/>
        <v>-3.915532704145641</v>
      </c>
      <c r="R248">
        <v>0.05363891607437367</v>
      </c>
    </row>
    <row r="249" spans="1:18" ht="12.75">
      <c r="A249" s="1">
        <f>DATE(1967,6,1)</f>
        <v>24624</v>
      </c>
      <c r="B249">
        <v>1967</v>
      </c>
      <c r="C249">
        <v>6</v>
      </c>
      <c r="D249">
        <v>3.48</v>
      </c>
      <c r="F249" s="3">
        <f>DATE(1967,6,1)</f>
        <v>24624</v>
      </c>
      <c r="G249">
        <v>33.3</v>
      </c>
      <c r="H249">
        <v>33.3</v>
      </c>
      <c r="I249" s="2">
        <f t="shared" si="9"/>
        <v>1.0060422960725075</v>
      </c>
      <c r="J249" s="2">
        <f t="shared" si="10"/>
        <v>3.479999999999994</v>
      </c>
      <c r="N249" s="2">
        <v>0.0009349586581076815</v>
      </c>
      <c r="P249" s="2">
        <f t="shared" si="11"/>
        <v>3.5355327041456386</v>
      </c>
      <c r="R249">
        <v>-0.033727476138342136</v>
      </c>
    </row>
    <row r="250" spans="1:18" ht="12.75">
      <c r="A250" s="1">
        <f>DATE(1967,7,1)</f>
        <v>24654</v>
      </c>
      <c r="B250">
        <v>1967</v>
      </c>
      <c r="C250">
        <v>7</v>
      </c>
      <c r="D250">
        <v>4.31</v>
      </c>
      <c r="F250" s="3">
        <f>DATE(1967,7,1)</f>
        <v>24654</v>
      </c>
      <c r="G250">
        <v>33.4</v>
      </c>
      <c r="H250">
        <v>33.4</v>
      </c>
      <c r="I250" s="2">
        <f t="shared" si="9"/>
        <v>1.003003003003003</v>
      </c>
      <c r="J250" s="2">
        <f t="shared" si="10"/>
        <v>-2.9644060194617627</v>
      </c>
      <c r="N250" s="2">
        <v>-0.00988437135891388</v>
      </c>
      <c r="P250" s="2">
        <f t="shared" si="11"/>
        <v>-6.444406019461757</v>
      </c>
      <c r="R250">
        <v>0.01967748093746069</v>
      </c>
    </row>
    <row r="251" spans="1:18" ht="12.75">
      <c r="A251" s="1">
        <f>DATE(1967,8,1)</f>
        <v>24685</v>
      </c>
      <c r="B251">
        <v>1967</v>
      </c>
      <c r="C251">
        <v>8</v>
      </c>
      <c r="D251">
        <v>4.27</v>
      </c>
      <c r="F251" s="3">
        <f>DATE(1967,8,1)</f>
        <v>24685</v>
      </c>
      <c r="G251">
        <v>33.5</v>
      </c>
      <c r="H251">
        <v>33.5</v>
      </c>
      <c r="I251" s="2">
        <f t="shared" si="9"/>
        <v>1.0029940119760479</v>
      </c>
      <c r="J251" s="2">
        <f t="shared" si="10"/>
        <v>0.5848502960246638</v>
      </c>
      <c r="N251" s="2">
        <v>0.007730332603115246</v>
      </c>
      <c r="P251" s="2">
        <f t="shared" si="11"/>
        <v>3.5492563154864265</v>
      </c>
      <c r="R251">
        <v>-0.026858175198749175</v>
      </c>
    </row>
    <row r="252" spans="1:18" ht="12.75">
      <c r="A252" s="1">
        <f>DATE(1967,9,1)</f>
        <v>24716</v>
      </c>
      <c r="B252">
        <v>1967</v>
      </c>
      <c r="C252">
        <v>9</v>
      </c>
      <c r="D252">
        <v>4.45</v>
      </c>
      <c r="F252" s="3">
        <f>DATE(1967,9,1)</f>
        <v>24716</v>
      </c>
      <c r="G252">
        <v>33.6</v>
      </c>
      <c r="H252">
        <v>33.6</v>
      </c>
      <c r="I252" s="2">
        <f t="shared" si="9"/>
        <v>1.0029850746268658</v>
      </c>
      <c r="J252" s="2">
        <f t="shared" si="10"/>
        <v>0.7693278189670583</v>
      </c>
      <c r="N252" s="2">
        <v>0.007049992798442325</v>
      </c>
      <c r="P252" s="2">
        <f t="shared" si="11"/>
        <v>0.1844775229423945</v>
      </c>
      <c r="R252">
        <v>0.01877302776072226</v>
      </c>
    </row>
    <row r="253" spans="1:18" ht="12.75">
      <c r="A253" s="1">
        <f>DATE(1967,10,1)</f>
        <v>24746</v>
      </c>
      <c r="B253">
        <v>1967</v>
      </c>
      <c r="C253">
        <v>10</v>
      </c>
      <c r="D253">
        <v>4.59</v>
      </c>
      <c r="F253" s="3">
        <f>DATE(1967,10,1)</f>
        <v>24746</v>
      </c>
      <c r="G253">
        <v>33.7</v>
      </c>
      <c r="H253">
        <v>33.7</v>
      </c>
      <c r="I253" s="2">
        <f t="shared" si="9"/>
        <v>1.0029761904761905</v>
      </c>
      <c r="J253" s="2">
        <f t="shared" si="10"/>
        <v>0.9151845491248256</v>
      </c>
      <c r="N253" s="2">
        <v>0.012273075656767362</v>
      </c>
      <c r="P253" s="2">
        <f t="shared" si="11"/>
        <v>0.14585673015776734</v>
      </c>
      <c r="R253">
        <v>-0.005913613180872937</v>
      </c>
    </row>
    <row r="254" spans="1:18" ht="12.75">
      <c r="A254" s="1">
        <f>DATE(1967,11,1)</f>
        <v>24777</v>
      </c>
      <c r="B254">
        <v>1967</v>
      </c>
      <c r="C254">
        <v>11</v>
      </c>
      <c r="D254">
        <v>4.76</v>
      </c>
      <c r="F254" s="3">
        <f>DATE(1967,11,1)</f>
        <v>24777</v>
      </c>
      <c r="G254">
        <v>33.8</v>
      </c>
      <c r="H254">
        <v>33.9</v>
      </c>
      <c r="I254" s="2">
        <f t="shared" si="9"/>
        <v>1.0059347181008902</v>
      </c>
      <c r="J254" s="2">
        <f t="shared" si="10"/>
        <v>1.0899561071010533</v>
      </c>
      <c r="N254" s="2">
        <v>-0.0021140142509902503</v>
      </c>
      <c r="P254" s="2">
        <f t="shared" si="11"/>
        <v>0.17477155797622768</v>
      </c>
      <c r="R254">
        <v>0.020217676353292968</v>
      </c>
    </row>
    <row r="255" spans="1:18" ht="12.75">
      <c r="A255" s="1">
        <f>DATE(1967,12,1)</f>
        <v>24807</v>
      </c>
      <c r="B255">
        <v>1967</v>
      </c>
      <c r="C255">
        <v>12</v>
      </c>
      <c r="D255">
        <v>5.01</v>
      </c>
      <c r="F255" s="3">
        <f>DATE(1967,12,1)</f>
        <v>24807</v>
      </c>
      <c r="G255">
        <v>33.9</v>
      </c>
      <c r="H255">
        <v>34</v>
      </c>
      <c r="I255" s="2">
        <f t="shared" si="9"/>
        <v>1.0029498525073748</v>
      </c>
      <c r="J255" s="2">
        <f t="shared" si="10"/>
        <v>-2.187785744484727</v>
      </c>
      <c r="N255" s="2">
        <v>0.004739487685479</v>
      </c>
      <c r="P255" s="2">
        <f t="shared" si="11"/>
        <v>-3.2777418515857804</v>
      </c>
      <c r="R255">
        <v>-0.02478096329635313</v>
      </c>
    </row>
    <row r="256" spans="1:18" ht="12.75">
      <c r="A256" s="1">
        <f>DATE(1968,1,1)</f>
        <v>24838</v>
      </c>
      <c r="B256">
        <v>1968</v>
      </c>
      <c r="C256">
        <v>1</v>
      </c>
      <c r="D256">
        <v>5.08</v>
      </c>
      <c r="F256" s="3">
        <f>DATE(1968,1,1)</f>
        <v>24838</v>
      </c>
      <c r="G256">
        <v>34.1</v>
      </c>
      <c r="H256">
        <v>34.1</v>
      </c>
      <c r="I256" s="2">
        <f t="shared" si="9"/>
        <v>1.0029411764705882</v>
      </c>
      <c r="J256" s="2">
        <f t="shared" si="10"/>
        <v>1.430703589116833</v>
      </c>
      <c r="N256" s="2">
        <v>0.007989970240189647</v>
      </c>
      <c r="P256" s="2">
        <f t="shared" si="11"/>
        <v>3.61848933360156</v>
      </c>
      <c r="R256">
        <v>0.007802638883685274</v>
      </c>
    </row>
    <row r="257" spans="1:18" ht="12.75">
      <c r="A257" s="1">
        <f>DATE(1968,2,1)</f>
        <v>24869</v>
      </c>
      <c r="B257">
        <v>1968</v>
      </c>
      <c r="C257">
        <v>2</v>
      </c>
      <c r="D257">
        <v>4.97</v>
      </c>
      <c r="F257" s="3">
        <f>DATE(1968,2,1)</f>
        <v>24869</v>
      </c>
      <c r="G257">
        <v>34.2</v>
      </c>
      <c r="H257">
        <v>34.2</v>
      </c>
      <c r="I257" s="2">
        <f t="shared" si="9"/>
        <v>1.002932551319648</v>
      </c>
      <c r="J257" s="2">
        <f t="shared" si="10"/>
        <v>1.3350424590409027</v>
      </c>
      <c r="N257" s="2">
        <v>-0.00853584293194662</v>
      </c>
      <c r="P257" s="2">
        <f t="shared" si="11"/>
        <v>-0.09566113007593025</v>
      </c>
      <c r="R257">
        <v>0.02055394380657538</v>
      </c>
    </row>
    <row r="258" spans="1:18" ht="12.75">
      <c r="A258" s="1">
        <f>DATE(1968,3,1)</f>
        <v>24898</v>
      </c>
      <c r="B258">
        <v>1968</v>
      </c>
      <c r="C258">
        <v>3</v>
      </c>
      <c r="D258">
        <v>5.15</v>
      </c>
      <c r="F258" s="3">
        <f>DATE(1968,3,1)</f>
        <v>24898</v>
      </c>
      <c r="G258">
        <v>34.3</v>
      </c>
      <c r="H258">
        <v>34.3</v>
      </c>
      <c r="I258" s="2">
        <f t="shared" si="9"/>
        <v>1.002923976608187</v>
      </c>
      <c r="J258" s="2">
        <f t="shared" si="10"/>
        <v>1.5192854431845593</v>
      </c>
      <c r="N258" s="2">
        <v>-0.009343321860937193</v>
      </c>
      <c r="P258" s="2">
        <f t="shared" si="11"/>
        <v>0.18424298414365659</v>
      </c>
      <c r="R258">
        <v>-0.016064351804127477</v>
      </c>
    </row>
    <row r="259" spans="1:18" ht="12.75">
      <c r="A259" s="1">
        <f>DATE(1968,4,1)</f>
        <v>24929</v>
      </c>
      <c r="B259">
        <v>1968</v>
      </c>
      <c r="C259">
        <v>4</v>
      </c>
      <c r="D259">
        <v>5.37</v>
      </c>
      <c r="F259" s="3">
        <f>DATE(1968,4,1)</f>
        <v>24929</v>
      </c>
      <c r="G259">
        <v>34.4</v>
      </c>
      <c r="H259">
        <v>34.4</v>
      </c>
      <c r="I259" s="2">
        <f t="shared" si="9"/>
        <v>1.0029154518950438</v>
      </c>
      <c r="J259" s="2">
        <f t="shared" si="10"/>
        <v>1.74212689457105</v>
      </c>
      <c r="N259" s="2">
        <v>-0.009866615527639292</v>
      </c>
      <c r="P259" s="2">
        <f t="shared" si="11"/>
        <v>0.2228414513864907</v>
      </c>
      <c r="R259">
        <v>-0.0006538162363773122</v>
      </c>
    </row>
    <row r="260" spans="1:18" ht="12.75">
      <c r="A260" s="1">
        <f>DATE(1968,5,1)</f>
        <v>24959</v>
      </c>
      <c r="B260">
        <v>1968</v>
      </c>
      <c r="C260">
        <v>5</v>
      </c>
      <c r="D260">
        <v>5.62</v>
      </c>
      <c r="F260" s="3">
        <f>DATE(1968,5,1)</f>
        <v>24959</v>
      </c>
      <c r="G260">
        <v>34.5</v>
      </c>
      <c r="H260">
        <v>34.5</v>
      </c>
      <c r="I260" s="2">
        <f t="shared" si="9"/>
        <v>1.002906976744186</v>
      </c>
      <c r="J260" s="2">
        <f t="shared" si="10"/>
        <v>1.993922154598038</v>
      </c>
      <c r="N260" s="2">
        <v>0.021667449179427704</v>
      </c>
      <c r="P260" s="2">
        <f t="shared" si="11"/>
        <v>0.25179526002698793</v>
      </c>
      <c r="R260">
        <v>-0.03302581943788104</v>
      </c>
    </row>
    <row r="261" spans="1:18" ht="12.75">
      <c r="A261" s="1">
        <f>DATE(1968,6,1)</f>
        <v>24990</v>
      </c>
      <c r="B261">
        <v>1968</v>
      </c>
      <c r="C261">
        <v>6</v>
      </c>
      <c r="D261">
        <v>5.55</v>
      </c>
      <c r="F261" s="3">
        <f>DATE(1968,6,1)</f>
        <v>24990</v>
      </c>
      <c r="G261">
        <v>34.7</v>
      </c>
      <c r="H261">
        <v>34.7</v>
      </c>
      <c r="I261" s="2">
        <f t="shared" si="9"/>
        <v>1.0057971014492755</v>
      </c>
      <c r="J261" s="2">
        <f t="shared" si="10"/>
        <v>1.936661875110568</v>
      </c>
      <c r="N261" s="2">
        <v>0.0182845543486937</v>
      </c>
      <c r="P261" s="2">
        <f t="shared" si="11"/>
        <v>-0.05726027948746992</v>
      </c>
      <c r="R261">
        <v>0.036280678565240775</v>
      </c>
    </row>
    <row r="262" spans="1:18" ht="12.75">
      <c r="A262" s="1">
        <f>DATE(1968,7,1)</f>
        <v>25020</v>
      </c>
      <c r="B262">
        <v>1968</v>
      </c>
      <c r="C262">
        <v>7</v>
      </c>
      <c r="D262">
        <v>5.38</v>
      </c>
      <c r="F262" s="3">
        <f>DATE(1968,7,1)</f>
        <v>25020</v>
      </c>
      <c r="G262">
        <v>34.9</v>
      </c>
      <c r="H262">
        <v>34.9</v>
      </c>
      <c r="I262" s="2">
        <f aca="true" t="shared" si="12" ref="I262:I325">H262/H261</f>
        <v>1.0057636887608068</v>
      </c>
      <c r="J262" s="2">
        <f t="shared" si="10"/>
        <v>-1.681863683422602</v>
      </c>
      <c r="N262" s="2">
        <v>0.020881128153869617</v>
      </c>
      <c r="P262" s="2">
        <f t="shared" si="11"/>
        <v>-3.61852555853317</v>
      </c>
      <c r="R262">
        <v>-0.010010751030933704</v>
      </c>
    </row>
    <row r="263" spans="1:18" ht="12.75">
      <c r="A263" s="1">
        <f>DATE(1968,8,1)</f>
        <v>25051</v>
      </c>
      <c r="B263">
        <v>1968</v>
      </c>
      <c r="C263">
        <v>8</v>
      </c>
      <c r="D263">
        <v>5.09</v>
      </c>
      <c r="F263" s="3">
        <f>DATE(1968,8,1)</f>
        <v>25051</v>
      </c>
      <c r="G263">
        <v>35</v>
      </c>
      <c r="H263">
        <v>35</v>
      </c>
      <c r="I263" s="2">
        <f t="shared" si="12"/>
        <v>1.002865329512894</v>
      </c>
      <c r="J263" s="2">
        <f aca="true" t="shared" si="13" ref="J263:J326">((1+D263/100)/(I262^12)-1)*100</f>
        <v>-1.9133355688265685</v>
      </c>
      <c r="N263" s="2">
        <v>0.016646124128721705</v>
      </c>
      <c r="P263" s="2">
        <f t="shared" si="11"/>
        <v>-0.23147188540396657</v>
      </c>
      <c r="R263">
        <v>0.005850327521562919</v>
      </c>
    </row>
    <row r="264" spans="1:18" ht="12.75">
      <c r="A264" s="1">
        <f>DATE(1968,9,1)</f>
        <v>25082</v>
      </c>
      <c r="B264">
        <v>1968</v>
      </c>
      <c r="C264">
        <v>9</v>
      </c>
      <c r="D264">
        <v>5.2</v>
      </c>
      <c r="F264" s="3">
        <f>DATE(1968,9,1)</f>
        <v>25082</v>
      </c>
      <c r="G264">
        <v>35.1</v>
      </c>
      <c r="H264">
        <v>35.1</v>
      </c>
      <c r="I264" s="2">
        <f t="shared" si="12"/>
        <v>1.002857142857143</v>
      </c>
      <c r="J264" s="2">
        <f t="shared" si="13"/>
        <v>1.6492856934102962</v>
      </c>
      <c r="N264" s="2">
        <v>0.008710749841259087</v>
      </c>
      <c r="P264" s="2">
        <f aca="true" t="shared" si="14" ref="P264:P327">J264-J263</f>
        <v>3.5626212622368647</v>
      </c>
      <c r="R264">
        <v>0.00723503267467378</v>
      </c>
    </row>
    <row r="265" spans="1:18" ht="12.75">
      <c r="A265" s="1">
        <f>DATE(1968,10,1)</f>
        <v>25112</v>
      </c>
      <c r="B265">
        <v>1968</v>
      </c>
      <c r="C265">
        <v>10</v>
      </c>
      <c r="D265">
        <v>5.34</v>
      </c>
      <c r="F265" s="3">
        <f>DATE(1968,10,1)</f>
        <v>25112</v>
      </c>
      <c r="G265">
        <v>35.3</v>
      </c>
      <c r="H265">
        <v>35.3</v>
      </c>
      <c r="I265" s="2">
        <f t="shared" si="12"/>
        <v>1.0056980056980056</v>
      </c>
      <c r="J265" s="2">
        <f t="shared" si="13"/>
        <v>1.7945316697389746</v>
      </c>
      <c r="N265" s="2">
        <v>0.005141332027666806</v>
      </c>
      <c r="P265" s="2">
        <f t="shared" si="14"/>
        <v>0.14524597632867842</v>
      </c>
      <c r="R265">
        <v>-0.0032714968880551277</v>
      </c>
    </row>
    <row r="266" spans="1:18" ht="12.75">
      <c r="A266" s="1">
        <f>DATE(1968,11,1)</f>
        <v>25143</v>
      </c>
      <c r="B266">
        <v>1968</v>
      </c>
      <c r="C266">
        <v>11</v>
      </c>
      <c r="D266">
        <v>5.49</v>
      </c>
      <c r="F266" s="3">
        <f>DATE(1968,11,1)</f>
        <v>25143</v>
      </c>
      <c r="G266">
        <v>35.4</v>
      </c>
      <c r="H266">
        <v>35.4</v>
      </c>
      <c r="I266" s="2">
        <f t="shared" si="12"/>
        <v>1.0028328611898016</v>
      </c>
      <c r="J266" s="2">
        <f t="shared" si="13"/>
        <v>-1.462798203730764</v>
      </c>
      <c r="N266" s="2">
        <v>0.02802950802296557</v>
      </c>
      <c r="P266" s="2">
        <f t="shared" si="14"/>
        <v>-3.2573298734697387</v>
      </c>
      <c r="R266">
        <v>-0.03034480483699495</v>
      </c>
    </row>
    <row r="267" spans="1:18" ht="12.75">
      <c r="A267" s="1">
        <f>DATE(1968,12,1)</f>
        <v>25173</v>
      </c>
      <c r="B267">
        <v>1968</v>
      </c>
      <c r="C267">
        <v>12</v>
      </c>
      <c r="D267">
        <v>5.92</v>
      </c>
      <c r="F267" s="3">
        <f>DATE(1968,12,1)</f>
        <v>25173</v>
      </c>
      <c r="G267">
        <v>35.5</v>
      </c>
      <c r="H267">
        <v>35.6</v>
      </c>
      <c r="I267" s="2">
        <f t="shared" si="12"/>
        <v>1.0056497175141244</v>
      </c>
      <c r="J267" s="2">
        <f t="shared" si="13"/>
        <v>2.384754305212722</v>
      </c>
      <c r="N267" s="2">
        <v>0.0064235142307134735</v>
      </c>
      <c r="P267" s="2">
        <f t="shared" si="14"/>
        <v>3.847552508943486</v>
      </c>
      <c r="R267">
        <v>0.04889362155576087</v>
      </c>
    </row>
    <row r="268" spans="1:18" ht="12.75">
      <c r="A268" s="1">
        <f>DATE(1969,1,1)</f>
        <v>25204</v>
      </c>
      <c r="B268">
        <v>1969</v>
      </c>
      <c r="C268">
        <v>1</v>
      </c>
      <c r="D268">
        <v>6.18</v>
      </c>
      <c r="F268" s="3">
        <f>DATE(1969,1,1)</f>
        <v>25204</v>
      </c>
      <c r="G268">
        <v>35.6</v>
      </c>
      <c r="H268">
        <v>35.7</v>
      </c>
      <c r="I268" s="2">
        <f t="shared" si="12"/>
        <v>1.002808988764045</v>
      </c>
      <c r="J268" s="2">
        <f t="shared" si="13"/>
        <v>-0.7611119072274519</v>
      </c>
      <c r="N268" s="2">
        <v>0.010395550209201363</v>
      </c>
      <c r="P268" s="2">
        <f t="shared" si="14"/>
        <v>-3.1458662124401737</v>
      </c>
      <c r="R268">
        <v>-0.028775016569601117</v>
      </c>
    </row>
    <row r="269" spans="1:18" ht="12.75">
      <c r="A269" s="1">
        <f>DATE(1969,2,1)</f>
        <v>25235</v>
      </c>
      <c r="B269">
        <v>1969</v>
      </c>
      <c r="C269">
        <v>2</v>
      </c>
      <c r="D269">
        <v>6.16</v>
      </c>
      <c r="F269" s="3">
        <f>DATE(1969,2,1)</f>
        <v>25235</v>
      </c>
      <c r="G269">
        <v>35.8</v>
      </c>
      <c r="H269">
        <v>35.8</v>
      </c>
      <c r="I269" s="2">
        <f t="shared" si="12"/>
        <v>1.002801120448179</v>
      </c>
      <c r="J269" s="2">
        <f t="shared" si="13"/>
        <v>2.6460619521951445</v>
      </c>
      <c r="N269" s="2">
        <v>0.03130361035001983</v>
      </c>
      <c r="P269" s="2">
        <f t="shared" si="14"/>
        <v>3.4071738594225964</v>
      </c>
      <c r="R269">
        <v>-0.014413357894965263</v>
      </c>
    </row>
    <row r="270" spans="1:18" ht="12.75">
      <c r="A270" s="1">
        <f>DATE(1969,3,1)</f>
        <v>25263</v>
      </c>
      <c r="B270">
        <v>1969</v>
      </c>
      <c r="C270">
        <v>3</v>
      </c>
      <c r="D270">
        <v>6.08</v>
      </c>
      <c r="F270" s="3">
        <f>DATE(1969,3,1)</f>
        <v>25263</v>
      </c>
      <c r="G270">
        <v>36.1</v>
      </c>
      <c r="H270">
        <v>36.1</v>
      </c>
      <c r="I270" s="2">
        <f t="shared" si="12"/>
        <v>1.0083798882681565</v>
      </c>
      <c r="J270" s="2">
        <f t="shared" si="13"/>
        <v>2.578367865035447</v>
      </c>
      <c r="N270" s="2">
        <v>0.05536855951552909</v>
      </c>
      <c r="P270" s="2">
        <f t="shared" si="14"/>
        <v>-0.0676940871596976</v>
      </c>
      <c r="R270">
        <v>-0.0027023592501398447</v>
      </c>
    </row>
    <row r="271" spans="1:18" ht="12.75">
      <c r="A271" s="1">
        <f>DATE(1969,4,1)</f>
        <v>25294</v>
      </c>
      <c r="B271">
        <v>1969</v>
      </c>
      <c r="C271">
        <v>4</v>
      </c>
      <c r="D271">
        <v>6.16</v>
      </c>
      <c r="F271" s="3">
        <f>DATE(1969,4,1)</f>
        <v>25294</v>
      </c>
      <c r="G271">
        <v>36.3</v>
      </c>
      <c r="H271">
        <v>36.3</v>
      </c>
      <c r="I271" s="2">
        <f t="shared" si="12"/>
        <v>1.005540166204986</v>
      </c>
      <c r="J271" s="2">
        <f t="shared" si="13"/>
        <v>-3.9558744666398415</v>
      </c>
      <c r="N271" s="2">
        <v>0.06767549531209266</v>
      </c>
      <c r="P271" s="2">
        <f t="shared" si="14"/>
        <v>-6.534242331675289</v>
      </c>
      <c r="R271">
        <v>0.005693638835627598</v>
      </c>
    </row>
    <row r="272" spans="1:18" ht="12.75">
      <c r="A272" s="1">
        <f>DATE(1969,5,1)</f>
        <v>25324</v>
      </c>
      <c r="B272">
        <v>1969</v>
      </c>
      <c r="C272">
        <v>5</v>
      </c>
      <c r="D272">
        <v>6.08</v>
      </c>
      <c r="F272" s="3">
        <f>DATE(1969,5,1)</f>
        <v>25324</v>
      </c>
      <c r="G272">
        <v>36.4</v>
      </c>
      <c r="H272">
        <v>36.4</v>
      </c>
      <c r="I272" s="2">
        <f t="shared" si="12"/>
        <v>1.0027548209366393</v>
      </c>
      <c r="J272" s="2">
        <f t="shared" si="13"/>
        <v>-0.7248770739854415</v>
      </c>
      <c r="N272" s="2">
        <v>0.041778063607462196</v>
      </c>
      <c r="P272" s="2">
        <f t="shared" si="14"/>
        <v>3.2309973926544</v>
      </c>
      <c r="R272">
        <v>0.04223160977722173</v>
      </c>
    </row>
    <row r="273" spans="1:18" ht="12.75">
      <c r="A273" s="1">
        <f>DATE(1969,6,1)</f>
        <v>25355</v>
      </c>
      <c r="B273">
        <v>1969</v>
      </c>
      <c r="C273">
        <v>6</v>
      </c>
      <c r="D273">
        <v>6.49</v>
      </c>
      <c r="F273" s="3">
        <f>DATE(1969,6,1)</f>
        <v>25355</v>
      </c>
      <c r="G273">
        <v>36.6</v>
      </c>
      <c r="H273">
        <v>36.6</v>
      </c>
      <c r="I273" s="2">
        <f t="shared" si="12"/>
        <v>1.0054945054945055</v>
      </c>
      <c r="J273" s="2">
        <f t="shared" si="13"/>
        <v>3.0319035594392973</v>
      </c>
      <c r="N273" s="2">
        <v>0.026027614193219854</v>
      </c>
      <c r="P273" s="2">
        <f t="shared" si="14"/>
        <v>3.756780633424739</v>
      </c>
      <c r="R273">
        <v>-0.007581847336259672</v>
      </c>
    </row>
    <row r="274" spans="1:18" ht="12.75">
      <c r="A274" s="1">
        <f>DATE(1969,7,1)</f>
        <v>25385</v>
      </c>
      <c r="B274">
        <v>1969</v>
      </c>
      <c r="C274">
        <v>7</v>
      </c>
      <c r="D274">
        <v>7.01</v>
      </c>
      <c r="F274" s="3">
        <f>DATE(1969,7,1)</f>
        <v>25385</v>
      </c>
      <c r="G274">
        <v>36.8</v>
      </c>
      <c r="H274">
        <v>36.8</v>
      </c>
      <c r="I274" s="2">
        <f t="shared" si="12"/>
        <v>1.0054644808743167</v>
      </c>
      <c r="J274" s="2">
        <f t="shared" si="13"/>
        <v>0.20005112331942243</v>
      </c>
      <c r="N274" s="2">
        <v>0.02250030167048394</v>
      </c>
      <c r="P274" s="2">
        <f t="shared" si="14"/>
        <v>-2.831852436119875</v>
      </c>
      <c r="R274">
        <v>-0.014830431367513053</v>
      </c>
    </row>
    <row r="275" spans="1:18" ht="12.75">
      <c r="A275" s="1">
        <f>DATE(1969,8,1)</f>
        <v>25416</v>
      </c>
      <c r="B275">
        <v>1969</v>
      </c>
      <c r="C275">
        <v>8</v>
      </c>
      <c r="D275">
        <v>7.01</v>
      </c>
      <c r="F275" s="3">
        <f>DATE(1969,8,1)</f>
        <v>25416</v>
      </c>
      <c r="G275">
        <v>37</v>
      </c>
      <c r="H275">
        <v>36.9</v>
      </c>
      <c r="I275" s="2">
        <f t="shared" si="12"/>
        <v>1.002717391304348</v>
      </c>
      <c r="J275" s="2">
        <f t="shared" si="13"/>
        <v>0.235962438206605</v>
      </c>
      <c r="N275" s="2">
        <v>0.024573637606924163</v>
      </c>
      <c r="P275" s="2">
        <f t="shared" si="14"/>
        <v>0.03591131488718258</v>
      </c>
      <c r="R275">
        <v>-0.006333908010800714</v>
      </c>
    </row>
    <row r="276" spans="1:18" ht="12.75">
      <c r="A276" s="1">
        <f>DATE(1969,9,1)</f>
        <v>25447</v>
      </c>
      <c r="B276">
        <v>1969</v>
      </c>
      <c r="C276">
        <v>9</v>
      </c>
      <c r="D276">
        <v>7.13</v>
      </c>
      <c r="F276" s="3">
        <f>DATE(1969,9,1)</f>
        <v>25447</v>
      </c>
      <c r="G276">
        <v>37.1</v>
      </c>
      <c r="H276">
        <v>37.1</v>
      </c>
      <c r="I276" s="2">
        <f t="shared" si="12"/>
        <v>1.005420054200542</v>
      </c>
      <c r="J276" s="2">
        <f t="shared" si="13"/>
        <v>3.6975594056486427</v>
      </c>
      <c r="N276" s="2">
        <v>0.0246410238379479</v>
      </c>
      <c r="P276" s="2">
        <f t="shared" si="14"/>
        <v>3.4615969674420377</v>
      </c>
      <c r="R276">
        <v>0.005984403124929499</v>
      </c>
    </row>
    <row r="277" spans="1:18" ht="12.75">
      <c r="A277" s="1">
        <f>DATE(1969,10,1)</f>
        <v>25477</v>
      </c>
      <c r="B277">
        <v>1969</v>
      </c>
      <c r="C277">
        <v>10</v>
      </c>
      <c r="D277">
        <v>7.04</v>
      </c>
      <c r="F277" s="3">
        <f>DATE(1969,10,1)</f>
        <v>25477</v>
      </c>
      <c r="G277">
        <v>37.3</v>
      </c>
      <c r="H277">
        <v>37.3</v>
      </c>
      <c r="I277" s="2">
        <f t="shared" si="12"/>
        <v>1.0053908355795147</v>
      </c>
      <c r="J277" s="2">
        <f t="shared" si="13"/>
        <v>0.3172409061250825</v>
      </c>
      <c r="N277" s="2">
        <v>0.036643052012783006</v>
      </c>
      <c r="P277" s="2">
        <f t="shared" si="14"/>
        <v>-3.3803184995235602</v>
      </c>
      <c r="R277">
        <v>-0.01613650214026795</v>
      </c>
    </row>
    <row r="278" spans="1:18" ht="12.75">
      <c r="A278" s="1">
        <f>DATE(1969,11,1)</f>
        <v>25508</v>
      </c>
      <c r="B278">
        <v>1969</v>
      </c>
      <c r="C278">
        <v>11</v>
      </c>
      <c r="D278">
        <v>7.2</v>
      </c>
      <c r="F278" s="3">
        <f>DATE(1969,11,1)</f>
        <v>25508</v>
      </c>
      <c r="G278">
        <v>37.5</v>
      </c>
      <c r="H278">
        <v>37.5</v>
      </c>
      <c r="I278" s="2">
        <f t="shared" si="12"/>
        <v>1.0053619302949062</v>
      </c>
      <c r="J278" s="2">
        <f t="shared" si="13"/>
        <v>0.5022348132986076</v>
      </c>
      <c r="N278" s="2">
        <v>0.027761815776866303</v>
      </c>
      <c r="P278" s="2">
        <f t="shared" si="14"/>
        <v>0.18499390717352515</v>
      </c>
      <c r="R278">
        <v>0.021294473292849208</v>
      </c>
    </row>
    <row r="279" spans="1:18" ht="12.75">
      <c r="A279" s="1">
        <f>DATE(1969,12,1)</f>
        <v>25538</v>
      </c>
      <c r="B279">
        <v>1969</v>
      </c>
      <c r="C279">
        <v>12</v>
      </c>
      <c r="D279">
        <v>7.72</v>
      </c>
      <c r="F279" s="3">
        <f>DATE(1969,12,1)</f>
        <v>25538</v>
      </c>
      <c r="G279">
        <v>37.7</v>
      </c>
      <c r="H279">
        <v>37.7</v>
      </c>
      <c r="I279" s="2">
        <f t="shared" si="12"/>
        <v>1.0053333333333334</v>
      </c>
      <c r="J279" s="2">
        <f t="shared" si="13"/>
        <v>1.0245939873737564</v>
      </c>
      <c r="N279" s="2">
        <v>0.041310486181695596</v>
      </c>
      <c r="P279" s="2">
        <f t="shared" si="14"/>
        <v>0.5223591740751488</v>
      </c>
      <c r="R279">
        <v>-0.02214054746650673</v>
      </c>
    </row>
    <row r="280" spans="1:18" ht="12.75">
      <c r="A280" s="1">
        <f>DATE(1970,1,1)</f>
        <v>25569</v>
      </c>
      <c r="B280">
        <v>1970</v>
      </c>
      <c r="C280">
        <v>1</v>
      </c>
      <c r="D280">
        <v>7.92</v>
      </c>
      <c r="F280" s="3">
        <f>DATE(1970,1,1)</f>
        <v>25569</v>
      </c>
      <c r="G280">
        <v>37.8</v>
      </c>
      <c r="H280">
        <v>37.9</v>
      </c>
      <c r="I280" s="2">
        <f t="shared" si="12"/>
        <v>1.0053050397877983</v>
      </c>
      <c r="J280" s="2">
        <f t="shared" si="13"/>
        <v>1.246716331640152</v>
      </c>
      <c r="N280" s="2">
        <v>0.0782665492995914</v>
      </c>
      <c r="P280" s="2">
        <f t="shared" si="14"/>
        <v>0.22212234426639554</v>
      </c>
      <c r="R280">
        <v>-0.024044863091478633</v>
      </c>
    </row>
    <row r="281" spans="1:18" ht="12.75">
      <c r="A281" s="1">
        <f>DATE(1970,2,1)</f>
        <v>25600</v>
      </c>
      <c r="B281">
        <v>1970</v>
      </c>
      <c r="C281">
        <v>2</v>
      </c>
      <c r="D281">
        <v>7.16</v>
      </c>
      <c r="F281" s="3">
        <f>DATE(1970,2,1)</f>
        <v>25600</v>
      </c>
      <c r="G281">
        <v>38</v>
      </c>
      <c r="H281">
        <v>38.1</v>
      </c>
      <c r="I281" s="2">
        <f t="shared" si="12"/>
        <v>1.0052770448548813</v>
      </c>
      <c r="J281" s="2">
        <f t="shared" si="13"/>
        <v>0.5676698811432512</v>
      </c>
      <c r="N281" s="2">
        <v>0.07941118490014931</v>
      </c>
      <c r="P281" s="2">
        <f t="shared" si="14"/>
        <v>-0.6790464504969007</v>
      </c>
      <c r="R281">
        <v>0.0366869997320867</v>
      </c>
    </row>
    <row r="282" spans="1:18" ht="12.75">
      <c r="A282" s="1">
        <f>DATE(1970,3,1)</f>
        <v>25628</v>
      </c>
      <c r="B282">
        <v>1970</v>
      </c>
      <c r="C282">
        <v>3</v>
      </c>
      <c r="D282">
        <v>6.71</v>
      </c>
      <c r="F282" s="3">
        <f>DATE(1970,3,1)</f>
        <v>25628</v>
      </c>
      <c r="G282">
        <v>38.2</v>
      </c>
      <c r="H282">
        <v>38.3</v>
      </c>
      <c r="I282" s="2">
        <f t="shared" si="12"/>
        <v>1.005249343832021</v>
      </c>
      <c r="J282" s="2">
        <f t="shared" si="13"/>
        <v>0.1788245115773135</v>
      </c>
      <c r="N282" s="2">
        <v>0.07345007125862892</v>
      </c>
      <c r="P282" s="2">
        <f t="shared" si="14"/>
        <v>-0.38884536956593774</v>
      </c>
      <c r="R282">
        <v>0.0064839869949766295</v>
      </c>
    </row>
    <row r="283" spans="1:18" ht="12.75">
      <c r="A283" s="1">
        <f>DATE(1970,4,1)</f>
        <v>25659</v>
      </c>
      <c r="B283">
        <v>1970</v>
      </c>
      <c r="C283">
        <v>4</v>
      </c>
      <c r="D283">
        <v>6.48</v>
      </c>
      <c r="F283" s="3">
        <f>DATE(1970,4,1)</f>
        <v>25659</v>
      </c>
      <c r="G283">
        <v>38.5</v>
      </c>
      <c r="H283">
        <v>38.5</v>
      </c>
      <c r="I283" s="2">
        <f t="shared" si="12"/>
        <v>1.0052219321148825</v>
      </c>
      <c r="J283" s="2">
        <f t="shared" si="13"/>
        <v>-0.004037973329096278</v>
      </c>
      <c r="N283" s="2">
        <v>0.02787222972678438</v>
      </c>
      <c r="P283" s="2">
        <f t="shared" si="14"/>
        <v>-0.18286248490640977</v>
      </c>
      <c r="R283">
        <v>0.042164549973099624</v>
      </c>
    </row>
    <row r="284" spans="1:18" ht="12.75">
      <c r="A284" s="1">
        <f>DATE(1970,5,1)</f>
        <v>25689</v>
      </c>
      <c r="B284">
        <v>1970</v>
      </c>
      <c r="C284">
        <v>5</v>
      </c>
      <c r="D284">
        <v>7.03</v>
      </c>
      <c r="F284" s="3">
        <f>DATE(1970,5,1)</f>
        <v>25689</v>
      </c>
      <c r="G284">
        <v>38.6</v>
      </c>
      <c r="H284">
        <v>38.6</v>
      </c>
      <c r="I284" s="2">
        <f t="shared" si="12"/>
        <v>1.0025974025974027</v>
      </c>
      <c r="J284" s="2">
        <f t="shared" si="13"/>
        <v>0.5453659073070272</v>
      </c>
      <c r="N284" s="2">
        <v>0.040441446507455014</v>
      </c>
      <c r="P284" s="2">
        <f t="shared" si="14"/>
        <v>0.5494038806361234</v>
      </c>
      <c r="R284">
        <v>-0.06037312104170407</v>
      </c>
    </row>
    <row r="285" spans="1:18" ht="12.75">
      <c r="A285" s="1">
        <f>DATE(1970,6,1)</f>
        <v>25720</v>
      </c>
      <c r="B285">
        <v>1970</v>
      </c>
      <c r="C285">
        <v>6</v>
      </c>
      <c r="D285">
        <v>6.74</v>
      </c>
      <c r="F285" s="3">
        <f>DATE(1970,6,1)</f>
        <v>25720</v>
      </c>
      <c r="G285">
        <v>38.8</v>
      </c>
      <c r="H285">
        <v>38.8</v>
      </c>
      <c r="I285" s="2">
        <f t="shared" si="12"/>
        <v>1.0051813471502589</v>
      </c>
      <c r="J285" s="2">
        <f t="shared" si="13"/>
        <v>3.468534167901427</v>
      </c>
      <c r="N285" s="2">
        <v>0.03636122294828133</v>
      </c>
      <c r="P285" s="2">
        <f t="shared" si="14"/>
        <v>2.9231682605944</v>
      </c>
      <c r="R285">
        <v>0.021712184471341454</v>
      </c>
    </row>
    <row r="286" spans="1:18" ht="12.75">
      <c r="A286" s="1">
        <f>DATE(1970,7,1)</f>
        <v>25750</v>
      </c>
      <c r="B286">
        <v>1970</v>
      </c>
      <c r="C286">
        <v>7</v>
      </c>
      <c r="D286">
        <v>6.47</v>
      </c>
      <c r="F286" s="3">
        <f>DATE(1970,7,1)</f>
        <v>25750</v>
      </c>
      <c r="G286">
        <v>39</v>
      </c>
      <c r="H286">
        <v>38.9</v>
      </c>
      <c r="I286" s="2">
        <f t="shared" si="12"/>
        <v>1.0025773195876289</v>
      </c>
      <c r="J286" s="2">
        <f t="shared" si="13"/>
        <v>0.06776569429023382</v>
      </c>
      <c r="N286" s="2">
        <v>0.023969807546617705</v>
      </c>
      <c r="P286" s="2">
        <f t="shared" si="14"/>
        <v>-3.400768473611193</v>
      </c>
      <c r="R286">
        <v>0.0037849181442405812</v>
      </c>
    </row>
    <row r="287" spans="1:18" ht="12.75">
      <c r="A287" s="1">
        <f>DATE(1970,8,1)</f>
        <v>25781</v>
      </c>
      <c r="B287">
        <v>1970</v>
      </c>
      <c r="C287">
        <v>8</v>
      </c>
      <c r="D287">
        <v>6.41</v>
      </c>
      <c r="F287" s="3">
        <f>DATE(1970,8,1)</f>
        <v>25781</v>
      </c>
      <c r="G287">
        <v>39</v>
      </c>
      <c r="H287">
        <v>39</v>
      </c>
      <c r="I287" s="2">
        <f t="shared" si="12"/>
        <v>1.0025706940874037</v>
      </c>
      <c r="J287" s="2">
        <f t="shared" si="13"/>
        <v>3.173445564048283</v>
      </c>
      <c r="N287" s="2">
        <v>0.05838696827821617</v>
      </c>
      <c r="P287" s="2">
        <f t="shared" si="14"/>
        <v>3.105679869758049</v>
      </c>
      <c r="R287">
        <v>-0.04572767784084107</v>
      </c>
    </row>
    <row r="288" spans="1:18" ht="12.75">
      <c r="A288" s="1">
        <f>DATE(1970,9,1)</f>
        <v>25812</v>
      </c>
      <c r="B288">
        <v>1970</v>
      </c>
      <c r="C288">
        <v>9</v>
      </c>
      <c r="D288">
        <v>6.24</v>
      </c>
      <c r="F288" s="3">
        <f>DATE(1970,9,1)</f>
        <v>25812</v>
      </c>
      <c r="G288">
        <v>39.2</v>
      </c>
      <c r="H288">
        <v>39.2</v>
      </c>
      <c r="I288" s="2">
        <f t="shared" si="12"/>
        <v>1.005128205128205</v>
      </c>
      <c r="J288" s="2">
        <f t="shared" si="13"/>
        <v>3.0167853654228916</v>
      </c>
      <c r="N288" s="2">
        <v>0.03854677520614077</v>
      </c>
      <c r="P288" s="2">
        <f t="shared" si="14"/>
        <v>-0.15666019862539127</v>
      </c>
      <c r="R288">
        <v>0.05572531071458637</v>
      </c>
    </row>
    <row r="289" spans="1:18" ht="12.75">
      <c r="A289" s="1">
        <f>DATE(1970,10,1)</f>
        <v>25842</v>
      </c>
      <c r="B289">
        <v>1970</v>
      </c>
      <c r="C289">
        <v>10</v>
      </c>
      <c r="D289">
        <v>5.93</v>
      </c>
      <c r="F289" s="3">
        <f>DATE(1970,10,1)</f>
        <v>25842</v>
      </c>
      <c r="G289">
        <v>39.4</v>
      </c>
      <c r="H289">
        <v>39.4</v>
      </c>
      <c r="I289" s="2">
        <f t="shared" si="12"/>
        <v>1.0051020408163265</v>
      </c>
      <c r="J289" s="2">
        <f t="shared" si="13"/>
        <v>-0.3765786953748185</v>
      </c>
      <c r="N289" s="2">
        <v>0.051267638476869375</v>
      </c>
      <c r="P289" s="2">
        <f t="shared" si="14"/>
        <v>-3.39336406079771</v>
      </c>
      <c r="R289">
        <v>-0.03653891608982134</v>
      </c>
    </row>
    <row r="290" spans="1:18" ht="12.75">
      <c r="A290" s="1">
        <f>DATE(1970,11,1)</f>
        <v>25873</v>
      </c>
      <c r="B290">
        <v>1970</v>
      </c>
      <c r="C290">
        <v>11</v>
      </c>
      <c r="D290">
        <v>5.29</v>
      </c>
      <c r="F290" s="3">
        <f>DATE(1970,11,1)</f>
        <v>25873</v>
      </c>
      <c r="G290">
        <v>39.6</v>
      </c>
      <c r="H290">
        <v>39.6</v>
      </c>
      <c r="I290" s="2">
        <f t="shared" si="12"/>
        <v>1.0050761421319798</v>
      </c>
      <c r="J290" s="2">
        <f t="shared" si="13"/>
        <v>-0.9475395045973167</v>
      </c>
      <c r="N290" s="2">
        <v>0.05079435220347506</v>
      </c>
      <c r="P290" s="2">
        <f t="shared" si="14"/>
        <v>-0.5709608092224983</v>
      </c>
      <c r="R290">
        <v>0.013149334448749954</v>
      </c>
    </row>
    <row r="291" spans="1:18" ht="12.75">
      <c r="A291" s="1">
        <f>DATE(1970,12,1)</f>
        <v>25903</v>
      </c>
      <c r="B291">
        <v>1970</v>
      </c>
      <c r="C291">
        <v>12</v>
      </c>
      <c r="D291">
        <v>4.86</v>
      </c>
      <c r="F291" s="3">
        <f>DATE(1970,12,1)</f>
        <v>25903</v>
      </c>
      <c r="G291">
        <v>39.8</v>
      </c>
      <c r="H291">
        <v>39.8</v>
      </c>
      <c r="I291" s="2">
        <f t="shared" si="12"/>
        <v>1.005050505050505</v>
      </c>
      <c r="J291" s="2">
        <f t="shared" si="13"/>
        <v>-1.3215579470808536</v>
      </c>
      <c r="N291" s="2">
        <v>0.04717311372824984</v>
      </c>
      <c r="P291" s="2">
        <f t="shared" si="14"/>
        <v>-0.3740184424835369</v>
      </c>
      <c r="R291">
        <v>0.002882659113055104</v>
      </c>
    </row>
    <row r="292" spans="1:18" ht="12.75">
      <c r="A292" s="1">
        <f>DATE(1971,1,1)</f>
        <v>25934</v>
      </c>
      <c r="B292">
        <v>1971</v>
      </c>
      <c r="C292">
        <v>1</v>
      </c>
      <c r="D292">
        <v>4.49</v>
      </c>
      <c r="F292" s="3">
        <f>DATE(1971,1,1)</f>
        <v>25934</v>
      </c>
      <c r="G292">
        <v>39.8</v>
      </c>
      <c r="H292">
        <v>39.9</v>
      </c>
      <c r="I292" s="2">
        <f t="shared" si="12"/>
        <v>1.0025125628140703</v>
      </c>
      <c r="J292" s="2">
        <f t="shared" si="13"/>
        <v>-1.6396432143338413</v>
      </c>
      <c r="N292" s="2">
        <v>0.01929415335753342</v>
      </c>
      <c r="P292" s="2">
        <f t="shared" si="14"/>
        <v>-0.3180852672529877</v>
      </c>
      <c r="R292">
        <v>0.024896151662589315</v>
      </c>
    </row>
    <row r="293" spans="1:18" ht="12.75">
      <c r="A293" s="1">
        <f>DATE(1971,2,1)</f>
        <v>25965</v>
      </c>
      <c r="B293">
        <v>1971</v>
      </c>
      <c r="C293">
        <v>2</v>
      </c>
      <c r="D293">
        <v>3.78</v>
      </c>
      <c r="F293" s="3">
        <f>DATE(1971,2,1)</f>
        <v>25965</v>
      </c>
      <c r="G293">
        <v>39.9</v>
      </c>
      <c r="H293">
        <v>39.9</v>
      </c>
      <c r="I293" s="2">
        <f t="shared" si="12"/>
        <v>1</v>
      </c>
      <c r="J293" s="2">
        <f t="shared" si="13"/>
        <v>0.7014636800991125</v>
      </c>
      <c r="N293" s="2">
        <v>0.017351250177283038</v>
      </c>
      <c r="P293" s="2">
        <f t="shared" si="14"/>
        <v>2.341106894432954</v>
      </c>
      <c r="R293">
        <v>-0.024803668936161753</v>
      </c>
    </row>
    <row r="294" spans="1:18" ht="12.75">
      <c r="A294" s="1">
        <f>DATE(1971,3,1)</f>
        <v>25993</v>
      </c>
      <c r="B294">
        <v>1971</v>
      </c>
      <c r="C294">
        <v>3</v>
      </c>
      <c r="D294">
        <v>3.33</v>
      </c>
      <c r="F294" s="3">
        <f>DATE(1971,3,1)</f>
        <v>25993</v>
      </c>
      <c r="G294">
        <v>40</v>
      </c>
      <c r="H294">
        <v>40</v>
      </c>
      <c r="I294" s="2">
        <f t="shared" si="12"/>
        <v>1.0025062656641603</v>
      </c>
      <c r="J294" s="2">
        <f t="shared" si="13"/>
        <v>3.3300000000000107</v>
      </c>
      <c r="N294" s="2">
        <v>-0.010998989628272763</v>
      </c>
      <c r="P294" s="2">
        <f t="shared" si="14"/>
        <v>2.628536319900898</v>
      </c>
      <c r="R294">
        <v>0.029861317878405944</v>
      </c>
    </row>
    <row r="295" spans="1:18" ht="12.75">
      <c r="A295" s="1">
        <f>DATE(1971,4,1)</f>
        <v>26024</v>
      </c>
      <c r="B295">
        <v>1971</v>
      </c>
      <c r="C295">
        <v>4</v>
      </c>
      <c r="D295">
        <v>3.78</v>
      </c>
      <c r="F295" s="3">
        <f>DATE(1971,4,1)</f>
        <v>26024</v>
      </c>
      <c r="G295">
        <v>40.1</v>
      </c>
      <c r="H295">
        <v>40.1</v>
      </c>
      <c r="I295" s="2">
        <f t="shared" si="12"/>
        <v>1.0025</v>
      </c>
      <c r="J295" s="2">
        <f t="shared" si="13"/>
        <v>0.7090545049302399</v>
      </c>
      <c r="N295" s="2">
        <v>0.006256885928058372</v>
      </c>
      <c r="P295" s="2">
        <f t="shared" si="14"/>
        <v>-2.620945495069771</v>
      </c>
      <c r="R295">
        <v>-0.05102302069118941</v>
      </c>
    </row>
    <row r="296" spans="1:18" ht="12.75">
      <c r="A296" s="1">
        <f>DATE(1971,5,1)</f>
        <v>26054</v>
      </c>
      <c r="B296">
        <v>1971</v>
      </c>
      <c r="C296">
        <v>5</v>
      </c>
      <c r="D296">
        <v>4.14</v>
      </c>
      <c r="F296" s="3">
        <f>DATE(1971,5,1)</f>
        <v>26054</v>
      </c>
      <c r="G296">
        <v>40.3</v>
      </c>
      <c r="H296">
        <v>40.3</v>
      </c>
      <c r="I296" s="2">
        <f t="shared" si="12"/>
        <v>1.0049875311720697</v>
      </c>
      <c r="J296" s="2">
        <f t="shared" si="13"/>
        <v>1.065981462417831</v>
      </c>
      <c r="N296" s="2">
        <v>-0.0036102178042345975</v>
      </c>
      <c r="P296" s="2">
        <f t="shared" si="14"/>
        <v>0.35692695748759107</v>
      </c>
      <c r="R296">
        <v>0.028599123186275766</v>
      </c>
    </row>
    <row r="297" spans="1:18" ht="12.75">
      <c r="A297" s="1">
        <f>DATE(1971,6,1)</f>
        <v>26085</v>
      </c>
      <c r="B297">
        <v>1971</v>
      </c>
      <c r="C297">
        <v>6</v>
      </c>
      <c r="D297">
        <v>4.7</v>
      </c>
      <c r="F297" s="3">
        <f>DATE(1971,6,1)</f>
        <v>26085</v>
      </c>
      <c r="G297">
        <v>40.6</v>
      </c>
      <c r="H297">
        <v>40.5</v>
      </c>
      <c r="I297" s="2">
        <f t="shared" si="12"/>
        <v>1.0049627791563276</v>
      </c>
      <c r="J297" s="2">
        <f t="shared" si="13"/>
        <v>-1.367827430453794</v>
      </c>
      <c r="N297" s="2">
        <v>0.018444617048429673</v>
      </c>
      <c r="P297" s="2">
        <f t="shared" si="14"/>
        <v>-2.433808892871625</v>
      </c>
      <c r="R297">
        <v>-0.03551219028553252</v>
      </c>
    </row>
    <row r="298" spans="1:18" ht="12.75">
      <c r="A298" s="1">
        <f>DATE(1971,7,1)</f>
        <v>26115</v>
      </c>
      <c r="B298">
        <v>1971</v>
      </c>
      <c r="C298">
        <v>7</v>
      </c>
      <c r="D298">
        <v>5.41</v>
      </c>
      <c r="F298" s="3">
        <f>DATE(1971,7,1)</f>
        <v>26115</v>
      </c>
      <c r="G298">
        <v>40.7</v>
      </c>
      <c r="H298">
        <v>40.6</v>
      </c>
      <c r="I298" s="2">
        <f t="shared" si="12"/>
        <v>1.002469135802469</v>
      </c>
      <c r="J298" s="2">
        <f t="shared" si="13"/>
        <v>-0.6696219372261503</v>
      </c>
      <c r="N298" s="2">
        <v>0.017355510005139123</v>
      </c>
      <c r="P298" s="2">
        <f t="shared" si="14"/>
        <v>0.6982054932276438</v>
      </c>
      <c r="R298">
        <v>0.025381170225730772</v>
      </c>
    </row>
    <row r="299" spans="1:18" ht="12.75">
      <c r="A299" s="1">
        <f>DATE(1971,8,1)</f>
        <v>26146</v>
      </c>
      <c r="B299">
        <v>1971</v>
      </c>
      <c r="C299">
        <v>8</v>
      </c>
      <c r="D299">
        <v>5.08</v>
      </c>
      <c r="F299" s="3">
        <f>DATE(1971,8,1)</f>
        <v>26146</v>
      </c>
      <c r="G299">
        <v>40.8</v>
      </c>
      <c r="H299">
        <v>40.7</v>
      </c>
      <c r="I299" s="2">
        <f t="shared" si="12"/>
        <v>1.0024630541871922</v>
      </c>
      <c r="J299" s="2">
        <f t="shared" si="13"/>
        <v>2.015917484118579</v>
      </c>
      <c r="N299" s="2">
        <v>-0.009065933368208216</v>
      </c>
      <c r="P299" s="2">
        <f t="shared" si="14"/>
        <v>2.6855394213447292</v>
      </c>
      <c r="R299">
        <v>0.029425766810786208</v>
      </c>
    </row>
    <row r="300" spans="1:18" ht="12.75">
      <c r="A300" s="1">
        <f>DATE(1971,9,1)</f>
        <v>26177</v>
      </c>
      <c r="B300">
        <v>1971</v>
      </c>
      <c r="C300">
        <v>9</v>
      </c>
      <c r="D300">
        <v>4.67</v>
      </c>
      <c r="F300" s="3">
        <f>DATE(1971,9,1)</f>
        <v>26177</v>
      </c>
      <c r="G300">
        <v>40.8</v>
      </c>
      <c r="H300">
        <v>40.8</v>
      </c>
      <c r="I300" s="2">
        <f t="shared" si="12"/>
        <v>1.0024570024570023</v>
      </c>
      <c r="J300" s="2">
        <f t="shared" si="13"/>
        <v>1.6252709233093743</v>
      </c>
      <c r="N300" s="2">
        <v>0.018524647528744425</v>
      </c>
      <c r="P300" s="2">
        <f t="shared" si="14"/>
        <v>-0.3906465608092047</v>
      </c>
      <c r="R300">
        <v>-0.056023114499397</v>
      </c>
    </row>
    <row r="301" spans="1:18" ht="12.75">
      <c r="A301" s="1">
        <f>DATE(1971,10,1)</f>
        <v>26207</v>
      </c>
      <c r="B301">
        <v>1971</v>
      </c>
      <c r="C301">
        <v>10</v>
      </c>
      <c r="D301">
        <v>4.49</v>
      </c>
      <c r="F301" s="3">
        <f>DATE(1971,10,1)</f>
        <v>26207</v>
      </c>
      <c r="G301">
        <v>40.9</v>
      </c>
      <c r="H301">
        <v>40.9</v>
      </c>
      <c r="I301" s="2">
        <f t="shared" si="12"/>
        <v>1.0024509803921569</v>
      </c>
      <c r="J301" s="2">
        <f t="shared" si="13"/>
        <v>1.4578565146283307</v>
      </c>
      <c r="N301" s="2">
        <v>0.003948106481114133</v>
      </c>
      <c r="P301" s="2">
        <f t="shared" si="14"/>
        <v>-0.16741440868104362</v>
      </c>
      <c r="R301">
        <v>0.043073537186767125</v>
      </c>
    </row>
    <row r="302" spans="1:18" ht="12.75">
      <c r="A302" s="1">
        <f>DATE(1971,11,1)</f>
        <v>26238</v>
      </c>
      <c r="B302">
        <v>1971</v>
      </c>
      <c r="C302">
        <v>11</v>
      </c>
      <c r="D302">
        <v>4.19</v>
      </c>
      <c r="F302" s="3">
        <f>DATE(1971,11,1)</f>
        <v>26238</v>
      </c>
      <c r="G302">
        <v>40.9</v>
      </c>
      <c r="H302">
        <v>41</v>
      </c>
      <c r="I302" s="2">
        <f t="shared" si="12"/>
        <v>1.0024449877750612</v>
      </c>
      <c r="J302" s="2">
        <f t="shared" si="13"/>
        <v>1.173855211198216</v>
      </c>
      <c r="N302" s="2">
        <v>0.01331317427911192</v>
      </c>
      <c r="P302" s="2">
        <f t="shared" si="14"/>
        <v>-0.28400130343011476</v>
      </c>
      <c r="R302">
        <v>-0.024679557057569572</v>
      </c>
    </row>
    <row r="303" spans="1:18" ht="12.75">
      <c r="A303" s="1">
        <f>DATE(1971,12,1)</f>
        <v>26268</v>
      </c>
      <c r="B303">
        <v>1971</v>
      </c>
      <c r="C303">
        <v>12</v>
      </c>
      <c r="D303">
        <v>4.02</v>
      </c>
      <c r="F303" s="3">
        <f>DATE(1971,12,1)</f>
        <v>26268</v>
      </c>
      <c r="G303">
        <v>41.1</v>
      </c>
      <c r="H303">
        <v>41.1</v>
      </c>
      <c r="I303" s="2">
        <f t="shared" si="12"/>
        <v>1.002439024390244</v>
      </c>
      <c r="J303" s="2">
        <f t="shared" si="13"/>
        <v>1.0160226621264812</v>
      </c>
      <c r="N303" s="2">
        <v>-0.009004824336569303</v>
      </c>
      <c r="P303" s="2">
        <f t="shared" si="14"/>
        <v>-0.15783254907173472</v>
      </c>
      <c r="R303">
        <v>0.031436639808452065</v>
      </c>
    </row>
    <row r="304" spans="1:18" ht="12.75">
      <c r="A304" s="1">
        <f>DATE(1972,1,1)</f>
        <v>26299</v>
      </c>
      <c r="B304">
        <v>1972</v>
      </c>
      <c r="C304">
        <v>1</v>
      </c>
      <c r="D304">
        <v>3.41</v>
      </c>
      <c r="F304" s="3">
        <f>DATE(1972,1,1)</f>
        <v>26299</v>
      </c>
      <c r="G304">
        <v>41.1</v>
      </c>
      <c r="H304">
        <v>41.2</v>
      </c>
      <c r="I304" s="2">
        <f t="shared" si="12"/>
        <v>1.002433090024331</v>
      </c>
      <c r="J304" s="2">
        <f t="shared" si="13"/>
        <v>0.4308078839689866</v>
      </c>
      <c r="N304" s="2">
        <v>-0.0026821510826228125</v>
      </c>
      <c r="P304" s="2">
        <f t="shared" si="14"/>
        <v>-0.5852147781574946</v>
      </c>
      <c r="R304">
        <v>-0.02843026266915164</v>
      </c>
    </row>
    <row r="305" spans="1:18" ht="12.75">
      <c r="A305" s="1">
        <f>DATE(1972,2,1)</f>
        <v>26330</v>
      </c>
      <c r="B305">
        <v>1972</v>
      </c>
      <c r="C305">
        <v>2</v>
      </c>
      <c r="D305">
        <v>3.18</v>
      </c>
      <c r="F305" s="3">
        <f>DATE(1972,2,1)</f>
        <v>26330</v>
      </c>
      <c r="G305">
        <v>41.3</v>
      </c>
      <c r="H305">
        <v>41.4</v>
      </c>
      <c r="I305" s="2">
        <f t="shared" si="12"/>
        <v>1.0048543689320388</v>
      </c>
      <c r="J305" s="2">
        <f t="shared" si="13"/>
        <v>0.21455299514123727</v>
      </c>
      <c r="N305" s="2">
        <v>-0.023639634326493412</v>
      </c>
      <c r="P305" s="2">
        <f t="shared" si="14"/>
        <v>-0.21625488882774935</v>
      </c>
      <c r="R305">
        <v>0.027627532950872592</v>
      </c>
    </row>
    <row r="306" spans="1:18" ht="12.75">
      <c r="A306" s="1">
        <f>DATE(1972,3,1)</f>
        <v>26359</v>
      </c>
      <c r="B306">
        <v>1972</v>
      </c>
      <c r="C306">
        <v>3</v>
      </c>
      <c r="D306">
        <v>3.72</v>
      </c>
      <c r="F306" s="3">
        <f>DATE(1972,3,1)</f>
        <v>26359</v>
      </c>
      <c r="G306">
        <v>41.4</v>
      </c>
      <c r="H306">
        <v>41.4</v>
      </c>
      <c r="I306" s="2">
        <f t="shared" si="12"/>
        <v>1</v>
      </c>
      <c r="J306" s="2">
        <f t="shared" si="13"/>
        <v>-2.135539331890657</v>
      </c>
      <c r="N306" s="2">
        <v>-0.014741201275237552</v>
      </c>
      <c r="P306" s="2">
        <f t="shared" si="14"/>
        <v>-2.350092327031894</v>
      </c>
      <c r="R306">
        <v>-0.034915279901943264</v>
      </c>
    </row>
    <row r="307" spans="1:18" ht="12.75">
      <c r="A307" s="1">
        <f>DATE(1972,4,1)</f>
        <v>26390</v>
      </c>
      <c r="B307">
        <v>1972</v>
      </c>
      <c r="C307">
        <v>4</v>
      </c>
      <c r="D307">
        <v>3.72</v>
      </c>
      <c r="F307" s="3">
        <f>DATE(1972,4,1)</f>
        <v>26390</v>
      </c>
      <c r="G307">
        <v>41.5</v>
      </c>
      <c r="H307">
        <v>41.5</v>
      </c>
      <c r="I307" s="2">
        <f t="shared" si="12"/>
        <v>1.002415458937198</v>
      </c>
      <c r="J307" s="2">
        <f t="shared" si="13"/>
        <v>3.71999999999999</v>
      </c>
      <c r="N307" s="2">
        <v>0.004767521308634938</v>
      </c>
      <c r="P307" s="2">
        <f t="shared" si="14"/>
        <v>5.855539331890647</v>
      </c>
      <c r="R307">
        <v>-0.004937180602944451</v>
      </c>
    </row>
    <row r="308" spans="1:18" ht="12.75">
      <c r="A308" s="1">
        <f>DATE(1972,5,1)</f>
        <v>26420</v>
      </c>
      <c r="B308">
        <v>1972</v>
      </c>
      <c r="C308">
        <v>5</v>
      </c>
      <c r="D308">
        <v>3.65</v>
      </c>
      <c r="F308" s="3">
        <f>DATE(1972,5,1)</f>
        <v>26420</v>
      </c>
      <c r="G308">
        <v>41.6</v>
      </c>
      <c r="H308">
        <v>41.6</v>
      </c>
      <c r="I308" s="2">
        <f t="shared" si="12"/>
        <v>1.002409638554217</v>
      </c>
      <c r="J308" s="2">
        <f t="shared" si="13"/>
        <v>0.6922949616610774</v>
      </c>
      <c r="N308" s="2">
        <v>0.0015305887186650292</v>
      </c>
      <c r="P308" s="2">
        <f t="shared" si="14"/>
        <v>-3.0277050383389126</v>
      </c>
      <c r="R308">
        <v>0.0207093558929584</v>
      </c>
    </row>
    <row r="309" spans="1:18" ht="12.75">
      <c r="A309" s="1">
        <f>DATE(1972,6,1)</f>
        <v>26451</v>
      </c>
      <c r="B309">
        <v>1972</v>
      </c>
      <c r="C309">
        <v>6</v>
      </c>
      <c r="D309">
        <v>3.87</v>
      </c>
      <c r="F309" s="3">
        <f>DATE(1972,6,1)</f>
        <v>26451</v>
      </c>
      <c r="G309">
        <v>41.7</v>
      </c>
      <c r="H309">
        <v>41.7</v>
      </c>
      <c r="I309" s="2">
        <f t="shared" si="12"/>
        <v>1.0024038461538463</v>
      </c>
      <c r="J309" s="2">
        <f t="shared" si="13"/>
        <v>0.9130481735079243</v>
      </c>
      <c r="N309" s="2">
        <v>0.05185469566232858</v>
      </c>
      <c r="P309" s="2">
        <f t="shared" si="14"/>
        <v>0.22075321184684693</v>
      </c>
      <c r="R309">
        <v>-0.05476712516770236</v>
      </c>
    </row>
    <row r="310" spans="1:18" ht="12.75">
      <c r="A310" s="1">
        <f>DATE(1972,7,1)</f>
        <v>26481</v>
      </c>
      <c r="B310">
        <v>1972</v>
      </c>
      <c r="C310">
        <v>7</v>
      </c>
      <c r="D310">
        <v>4.06</v>
      </c>
      <c r="F310" s="3">
        <f>DATE(1972,7,1)</f>
        <v>26481</v>
      </c>
      <c r="G310">
        <v>41.9</v>
      </c>
      <c r="H310">
        <v>41.8</v>
      </c>
      <c r="I310" s="2">
        <f t="shared" si="12"/>
        <v>1.002398081534772</v>
      </c>
      <c r="J310" s="2">
        <f t="shared" si="13"/>
        <v>1.1046498359764012</v>
      </c>
      <c r="N310" s="2">
        <v>-0.0009782089429543244</v>
      </c>
      <c r="P310" s="2">
        <f t="shared" si="14"/>
        <v>0.19160166246847687</v>
      </c>
      <c r="R310">
        <v>0.10804120059149727</v>
      </c>
    </row>
    <row r="311" spans="1:18" ht="12.75">
      <c r="A311" s="1">
        <f>DATE(1972,8,1)</f>
        <v>26512</v>
      </c>
      <c r="B311">
        <v>1972</v>
      </c>
      <c r="C311">
        <v>8</v>
      </c>
      <c r="D311">
        <v>4.01</v>
      </c>
      <c r="F311" s="3">
        <f>DATE(1972,8,1)</f>
        <v>26512</v>
      </c>
      <c r="G311">
        <v>42</v>
      </c>
      <c r="H311">
        <v>41.9</v>
      </c>
      <c r="I311" s="2">
        <f t="shared" si="12"/>
        <v>1.0023923444976077</v>
      </c>
      <c r="J311" s="2">
        <f t="shared" si="13"/>
        <v>1.0630439518009238</v>
      </c>
      <c r="N311" s="2">
        <v>-0.0001666839270915997</v>
      </c>
      <c r="P311" s="2">
        <f t="shared" si="14"/>
        <v>-0.04160588417547739</v>
      </c>
      <c r="R311">
        <v>-0.056011968064934824</v>
      </c>
    </row>
    <row r="312" spans="1:18" ht="12.75">
      <c r="A312" s="1">
        <f>DATE(1972,9,1)</f>
        <v>26543</v>
      </c>
      <c r="B312">
        <v>1972</v>
      </c>
      <c r="C312">
        <v>9</v>
      </c>
      <c r="D312">
        <v>4.65</v>
      </c>
      <c r="F312" s="3">
        <f>DATE(1972,9,1)</f>
        <v>26543</v>
      </c>
      <c r="G312">
        <v>42.1</v>
      </c>
      <c r="H312">
        <v>42.1</v>
      </c>
      <c r="I312" s="2">
        <f t="shared" si="12"/>
        <v>1.0047732696897376</v>
      </c>
      <c r="J312" s="2">
        <f t="shared" si="13"/>
        <v>1.6918945349277292</v>
      </c>
      <c r="N312" s="2">
        <v>0.025740441285080233</v>
      </c>
      <c r="P312" s="2">
        <f t="shared" si="14"/>
        <v>0.6288505831268054</v>
      </c>
      <c r="R312">
        <v>-0.025002512194457146</v>
      </c>
    </row>
    <row r="313" spans="1:18" ht="12.75">
      <c r="A313" s="1">
        <f>DATE(1972,10,1)</f>
        <v>26573</v>
      </c>
      <c r="B313">
        <v>1972</v>
      </c>
      <c r="C313">
        <v>10</v>
      </c>
      <c r="D313">
        <v>4.72</v>
      </c>
      <c r="F313" s="3">
        <f>DATE(1972,10,1)</f>
        <v>26573</v>
      </c>
      <c r="G313">
        <v>42.3</v>
      </c>
      <c r="H313">
        <v>42.2</v>
      </c>
      <c r="I313" s="2">
        <f t="shared" si="12"/>
        <v>1.002375296912114</v>
      </c>
      <c r="J313" s="2">
        <f t="shared" si="13"/>
        <v>-1.0962498535314724</v>
      </c>
      <c r="N313" s="2">
        <v>0.03746720878109235</v>
      </c>
      <c r="P313" s="2">
        <f t="shared" si="14"/>
        <v>-2.7881443884592017</v>
      </c>
      <c r="R313">
        <v>0.011396180151880882</v>
      </c>
    </row>
    <row r="314" spans="1:18" ht="12.75">
      <c r="A314" s="1">
        <f>DATE(1972,11,1)</f>
        <v>26604</v>
      </c>
      <c r="B314">
        <v>1972</v>
      </c>
      <c r="C314">
        <v>11</v>
      </c>
      <c r="D314">
        <v>4.78</v>
      </c>
      <c r="F314" s="3">
        <f>DATE(1972,11,1)</f>
        <v>26604</v>
      </c>
      <c r="G314">
        <v>42.4</v>
      </c>
      <c r="H314">
        <v>42.4</v>
      </c>
      <c r="I314" s="2">
        <f t="shared" si="12"/>
        <v>1.004739336492891</v>
      </c>
      <c r="J314" s="2">
        <f t="shared" si="13"/>
        <v>1.8390015133273874</v>
      </c>
      <c r="N314" s="2">
        <v>0.01897466226007098</v>
      </c>
      <c r="P314" s="2">
        <f t="shared" si="14"/>
        <v>2.93525136685886</v>
      </c>
      <c r="R314">
        <v>0.03621568806212203</v>
      </c>
    </row>
    <row r="315" spans="1:18" ht="12.75">
      <c r="A315" s="1">
        <f>DATE(1972,12,1)</f>
        <v>26634</v>
      </c>
      <c r="B315">
        <v>1972</v>
      </c>
      <c r="C315">
        <v>12</v>
      </c>
      <c r="D315">
        <v>5.06</v>
      </c>
      <c r="F315" s="3">
        <f>DATE(1972,12,1)</f>
        <v>26634</v>
      </c>
      <c r="G315">
        <v>42.5</v>
      </c>
      <c r="H315">
        <v>42.5</v>
      </c>
      <c r="I315" s="2">
        <f t="shared" si="12"/>
        <v>1.0023584905660379</v>
      </c>
      <c r="J315" s="2">
        <f t="shared" si="13"/>
        <v>-0.7349126938704487</v>
      </c>
      <c r="N315" s="2">
        <v>0.017808852192274086</v>
      </c>
      <c r="P315" s="2">
        <f t="shared" si="14"/>
        <v>-2.573914207197836</v>
      </c>
      <c r="R315">
        <v>-0.021270065985596536</v>
      </c>
    </row>
    <row r="316" spans="1:18" ht="12.75">
      <c r="A316" s="1">
        <f>DATE(1973,1,1)</f>
        <v>26665</v>
      </c>
      <c r="B316">
        <v>1973</v>
      </c>
      <c r="C316">
        <v>1</v>
      </c>
      <c r="D316">
        <v>5.31</v>
      </c>
      <c r="F316" s="3">
        <f>DATE(1973,1,1)</f>
        <v>26665</v>
      </c>
      <c r="G316">
        <v>42.6</v>
      </c>
      <c r="H316">
        <v>42.7</v>
      </c>
      <c r="I316" s="2">
        <f t="shared" si="12"/>
        <v>1.0047058823529413</v>
      </c>
      <c r="J316" s="2">
        <f t="shared" si="13"/>
        <v>2.374721019266901</v>
      </c>
      <c r="N316" s="2">
        <v>0.05511582536086043</v>
      </c>
      <c r="P316" s="2">
        <f t="shared" si="14"/>
        <v>3.1096337131373497</v>
      </c>
      <c r="R316">
        <v>-0.03920393109530486</v>
      </c>
    </row>
    <row r="317" spans="1:18" ht="12.75">
      <c r="A317" s="1">
        <f>DATE(1973,2,1)</f>
        <v>26696</v>
      </c>
      <c r="B317">
        <v>1973</v>
      </c>
      <c r="C317">
        <v>2</v>
      </c>
      <c r="D317">
        <v>5.56</v>
      </c>
      <c r="F317" s="3">
        <f>DATE(1973,2,1)</f>
        <v>26696</v>
      </c>
      <c r="G317">
        <v>42.9</v>
      </c>
      <c r="H317">
        <v>43</v>
      </c>
      <c r="I317" s="2">
        <f t="shared" si="12"/>
        <v>1.0070257611241218</v>
      </c>
      <c r="J317" s="2">
        <f t="shared" si="13"/>
        <v>-0.2226324059628304</v>
      </c>
      <c r="N317" s="2">
        <v>0.06977624107574193</v>
      </c>
      <c r="P317" s="2">
        <f t="shared" si="14"/>
        <v>-2.5973534252297314</v>
      </c>
      <c r="R317">
        <v>0.022090056708572857</v>
      </c>
    </row>
    <row r="318" spans="1:18" ht="12.75">
      <c r="A318" s="1">
        <f>DATE(1973,3,1)</f>
        <v>26724</v>
      </c>
      <c r="B318">
        <v>1973</v>
      </c>
      <c r="C318">
        <v>3</v>
      </c>
      <c r="D318">
        <v>6.05</v>
      </c>
      <c r="F318" s="3">
        <f>DATE(1973,3,1)</f>
        <v>26724</v>
      </c>
      <c r="G318">
        <v>43.3</v>
      </c>
      <c r="H318">
        <v>43.4</v>
      </c>
      <c r="I318" s="2">
        <f t="shared" si="12"/>
        <v>1.0093023255813953</v>
      </c>
      <c r="J318" s="2">
        <f t="shared" si="13"/>
        <v>-2.495714049639919</v>
      </c>
      <c r="N318" s="2">
        <v>0.11137571805452672</v>
      </c>
      <c r="P318" s="2">
        <f t="shared" si="14"/>
        <v>-2.2730816436770884</v>
      </c>
      <c r="R318">
        <v>-0.029513799631891227</v>
      </c>
    </row>
    <row r="319" spans="1:18" ht="12.75">
      <c r="A319" s="1">
        <f>DATE(1973,4,1)</f>
        <v>26755</v>
      </c>
      <c r="B319">
        <v>1973</v>
      </c>
      <c r="C319">
        <v>4</v>
      </c>
      <c r="D319">
        <v>6.29</v>
      </c>
      <c r="F319" s="3">
        <f>DATE(1973,4,1)</f>
        <v>26755</v>
      </c>
      <c r="G319">
        <v>43.6</v>
      </c>
      <c r="H319">
        <v>43.7</v>
      </c>
      <c r="I319" s="2">
        <f t="shared" si="12"/>
        <v>1.0069124423963134</v>
      </c>
      <c r="J319" s="2">
        <f t="shared" si="13"/>
        <v>-4.887604520087674</v>
      </c>
      <c r="N319" s="2">
        <v>0.08277560449477797</v>
      </c>
      <c r="P319" s="2">
        <f t="shared" si="14"/>
        <v>-2.391890470447755</v>
      </c>
      <c r="R319">
        <v>0.0692553722565361</v>
      </c>
    </row>
    <row r="320" spans="1:18" ht="12.75">
      <c r="A320" s="1">
        <f>DATE(1973,5,1)</f>
        <v>26785</v>
      </c>
      <c r="B320">
        <v>1973</v>
      </c>
      <c r="C320">
        <v>5</v>
      </c>
      <c r="D320">
        <v>6.35</v>
      </c>
      <c r="F320" s="3">
        <f>DATE(1973,5,1)</f>
        <v>26785</v>
      </c>
      <c r="G320">
        <v>43.9</v>
      </c>
      <c r="H320">
        <v>43.9</v>
      </c>
      <c r="I320" s="2">
        <f t="shared" si="12"/>
        <v>1.0045766590389016</v>
      </c>
      <c r="J320" s="2">
        <f t="shared" si="13"/>
        <v>-2.0877558439839516</v>
      </c>
      <c r="N320" s="2">
        <v>0.07055764222365792</v>
      </c>
      <c r="P320" s="2">
        <f t="shared" si="14"/>
        <v>2.7998486761037222</v>
      </c>
      <c r="R320">
        <v>-0.012928667759517107</v>
      </c>
    </row>
    <row r="321" spans="1:18" ht="12.75">
      <c r="A321" s="1">
        <f>DATE(1973,6,1)</f>
        <v>26816</v>
      </c>
      <c r="B321">
        <v>1973</v>
      </c>
      <c r="C321">
        <v>6</v>
      </c>
      <c r="D321">
        <v>7.19</v>
      </c>
      <c r="F321" s="3">
        <f>DATE(1973,6,1)</f>
        <v>26816</v>
      </c>
      <c r="G321">
        <v>44.2</v>
      </c>
      <c r="H321">
        <v>44.2</v>
      </c>
      <c r="I321" s="2">
        <f t="shared" si="12"/>
        <v>1.0068337129840548</v>
      </c>
      <c r="J321" s="2">
        <f t="shared" si="13"/>
        <v>1.4745821494892786</v>
      </c>
      <c r="N321" s="2">
        <v>0.062396819059144765</v>
      </c>
      <c r="P321" s="2">
        <f t="shared" si="14"/>
        <v>3.56233799347323</v>
      </c>
      <c r="R321">
        <v>-0.0007940183325188117</v>
      </c>
    </row>
    <row r="322" spans="1:18" ht="12.75">
      <c r="A322" s="1">
        <f>DATE(1973,7,1)</f>
        <v>26846</v>
      </c>
      <c r="B322">
        <v>1973</v>
      </c>
      <c r="C322">
        <v>7</v>
      </c>
      <c r="D322">
        <v>8.02</v>
      </c>
      <c r="F322" s="3">
        <f>DATE(1973,7,1)</f>
        <v>26846</v>
      </c>
      <c r="G322">
        <v>44.3</v>
      </c>
      <c r="H322">
        <v>44.2</v>
      </c>
      <c r="I322" s="2">
        <f t="shared" si="12"/>
        <v>1</v>
      </c>
      <c r="J322" s="2">
        <f t="shared" si="13"/>
        <v>-0.45689493027336603</v>
      </c>
      <c r="N322" s="2">
        <v>0.08382447550331047</v>
      </c>
      <c r="P322" s="2">
        <f t="shared" si="14"/>
        <v>-1.9314770797626446</v>
      </c>
      <c r="R322">
        <v>-0.03228161774822491</v>
      </c>
    </row>
    <row r="323" spans="1:18" ht="12.75">
      <c r="A323" s="1">
        <f>DATE(1973,8,1)</f>
        <v>26877</v>
      </c>
      <c r="B323">
        <v>1973</v>
      </c>
      <c r="C323">
        <v>8</v>
      </c>
      <c r="D323">
        <v>8.67</v>
      </c>
      <c r="F323" s="3">
        <f>DATE(1973,8,1)</f>
        <v>26877</v>
      </c>
      <c r="G323">
        <v>45.1</v>
      </c>
      <c r="H323">
        <v>45</v>
      </c>
      <c r="I323" s="2">
        <f t="shared" si="12"/>
        <v>1.0180995475113122</v>
      </c>
      <c r="J323" s="2">
        <f t="shared" si="13"/>
        <v>8.67</v>
      </c>
      <c r="N323" s="2">
        <v>0.07408674359189862</v>
      </c>
      <c r="P323" s="2">
        <f t="shared" si="14"/>
        <v>9.126894930273366</v>
      </c>
      <c r="R323">
        <v>0.04005737017145519</v>
      </c>
    </row>
    <row r="324" spans="1:18" ht="12.75">
      <c r="A324" s="1">
        <f>DATE(1973,9,1)</f>
        <v>26908</v>
      </c>
      <c r="B324">
        <v>1973</v>
      </c>
      <c r="C324">
        <v>9</v>
      </c>
      <c r="D324">
        <v>8.48</v>
      </c>
      <c r="F324" s="3">
        <f>DATE(1973,9,1)</f>
        <v>26908</v>
      </c>
      <c r="G324">
        <v>45.2</v>
      </c>
      <c r="H324">
        <v>45.2</v>
      </c>
      <c r="I324" s="2">
        <f t="shared" si="12"/>
        <v>1.0044444444444445</v>
      </c>
      <c r="J324" s="2">
        <f t="shared" si="13"/>
        <v>-12.528465892175078</v>
      </c>
      <c r="N324" s="2">
        <v>0.08044283677201212</v>
      </c>
      <c r="P324" s="2">
        <f t="shared" si="14"/>
        <v>-21.19846589217508</v>
      </c>
      <c r="R324">
        <v>-0.03714975318119041</v>
      </c>
    </row>
    <row r="325" spans="1:18" ht="12.75">
      <c r="A325" s="1">
        <f>DATE(1973,10,1)</f>
        <v>26938</v>
      </c>
      <c r="B325">
        <v>1973</v>
      </c>
      <c r="C325">
        <v>10</v>
      </c>
      <c r="D325">
        <v>7.16</v>
      </c>
      <c r="F325" s="3">
        <f>DATE(1973,10,1)</f>
        <v>26938</v>
      </c>
      <c r="G325">
        <v>45.6</v>
      </c>
      <c r="H325">
        <v>45.6</v>
      </c>
      <c r="I325" s="2">
        <f t="shared" si="12"/>
        <v>1.008849557522124</v>
      </c>
      <c r="J325" s="2">
        <f t="shared" si="13"/>
        <v>1.6065376336408477</v>
      </c>
      <c r="N325" s="2">
        <v>0.08020966786973377</v>
      </c>
      <c r="P325" s="2">
        <f t="shared" si="14"/>
        <v>14.135003525815925</v>
      </c>
      <c r="R325">
        <v>0.020664433304528784</v>
      </c>
    </row>
    <row r="326" spans="1:18" ht="12.75">
      <c r="A326" s="1">
        <f>DATE(1973,11,1)</f>
        <v>26969</v>
      </c>
      <c r="B326">
        <v>1973</v>
      </c>
      <c r="C326">
        <v>11</v>
      </c>
      <c r="D326">
        <v>7.87</v>
      </c>
      <c r="F326" s="3">
        <f>DATE(1973,11,1)</f>
        <v>26969</v>
      </c>
      <c r="G326">
        <v>45.9</v>
      </c>
      <c r="H326">
        <v>45.9</v>
      </c>
      <c r="I326" s="2">
        <f aca="true" t="shared" si="15" ref="I326:I389">H326/H325</f>
        <v>1.006578947368421</v>
      </c>
      <c r="J326" s="2">
        <f t="shared" si="13"/>
        <v>-2.9526268569328606</v>
      </c>
      <c r="N326" s="2">
        <v>0.08070169817659456</v>
      </c>
      <c r="P326" s="2">
        <f t="shared" si="14"/>
        <v>-4.559164490573709</v>
      </c>
      <c r="R326">
        <v>-0.006336341854793014</v>
      </c>
    </row>
    <row r="327" spans="1:18" ht="12.75">
      <c r="A327" s="1">
        <f>DATE(1973,12,1)</f>
        <v>26999</v>
      </c>
      <c r="B327">
        <v>1973</v>
      </c>
      <c r="C327">
        <v>12</v>
      </c>
      <c r="D327">
        <v>7.37</v>
      </c>
      <c r="F327" s="3">
        <f>DATE(1973,12,1)</f>
        <v>26999</v>
      </c>
      <c r="G327">
        <v>46.2</v>
      </c>
      <c r="H327">
        <v>46.3</v>
      </c>
      <c r="I327" s="2">
        <f t="shared" si="15"/>
        <v>1.008714596949891</v>
      </c>
      <c r="J327" s="2">
        <f aca="true" t="shared" si="16" ref="J327:J390">((1+D327/100)/(I326^12)-1)*100</f>
        <v>-0.7549537093825109</v>
      </c>
      <c r="N327" s="2">
        <v>0.06074874101061916</v>
      </c>
      <c r="P327" s="2">
        <f t="shared" si="14"/>
        <v>2.1976731475503497</v>
      </c>
      <c r="R327">
        <v>0.027375448392915176</v>
      </c>
    </row>
    <row r="328" spans="1:18" ht="12.75">
      <c r="A328" s="1">
        <f>DATE(1974,1,1)</f>
        <v>27030</v>
      </c>
      <c r="B328">
        <v>1974</v>
      </c>
      <c r="C328">
        <v>1</v>
      </c>
      <c r="D328">
        <v>7.76</v>
      </c>
      <c r="F328" s="3">
        <f>DATE(1974,1,1)</f>
        <v>27030</v>
      </c>
      <c r="G328">
        <v>46.6</v>
      </c>
      <c r="H328">
        <v>46.8</v>
      </c>
      <c r="I328" s="2">
        <f t="shared" si="15"/>
        <v>1.0107991360691144</v>
      </c>
      <c r="J328" s="2">
        <f t="shared" si="16"/>
        <v>-2.8958218430944926</v>
      </c>
      <c r="N328" s="2">
        <v>0.07428259597738603</v>
      </c>
      <c r="P328" s="2">
        <f aca="true" t="shared" si="17" ref="P328:P391">J328-J327</f>
        <v>-2.1408681337119817</v>
      </c>
      <c r="R328">
        <v>-0.04292826861677899</v>
      </c>
    </row>
    <row r="329" spans="1:18" ht="12.75">
      <c r="A329" s="1">
        <f>DATE(1974,2,1)</f>
        <v>27061</v>
      </c>
      <c r="B329">
        <v>1974</v>
      </c>
      <c r="C329">
        <v>2</v>
      </c>
      <c r="D329">
        <v>7.06</v>
      </c>
      <c r="F329" s="3">
        <f>DATE(1974,2,1)</f>
        <v>27061</v>
      </c>
      <c r="G329">
        <v>47.2</v>
      </c>
      <c r="H329">
        <v>47.3</v>
      </c>
      <c r="I329" s="2">
        <f t="shared" si="15"/>
        <v>1.0106837606837606</v>
      </c>
      <c r="J329" s="2">
        <f t="shared" si="16"/>
        <v>-5.887156694662854</v>
      </c>
      <c r="N329" s="2">
        <v>0.0913796753146954</v>
      </c>
      <c r="P329" s="2">
        <f t="shared" si="17"/>
        <v>-2.9913348515683618</v>
      </c>
      <c r="R329">
        <v>-0.0038905485230460754</v>
      </c>
    </row>
    <row r="330" spans="1:18" ht="12.75">
      <c r="A330" s="1">
        <f>DATE(1974,3,1)</f>
        <v>27089</v>
      </c>
      <c r="B330">
        <v>1974</v>
      </c>
      <c r="C330">
        <v>3</v>
      </c>
      <c r="D330">
        <v>7.99</v>
      </c>
      <c r="F330" s="3">
        <f>DATE(1974,3,1)</f>
        <v>27089</v>
      </c>
      <c r="G330">
        <v>47.8</v>
      </c>
      <c r="H330">
        <v>47.8</v>
      </c>
      <c r="I330" s="2">
        <f t="shared" si="15"/>
        <v>1.0105708245243128</v>
      </c>
      <c r="J330" s="2">
        <f t="shared" si="16"/>
        <v>-4.9395011079006235</v>
      </c>
      <c r="N330" s="2">
        <v>0.057613898752041856</v>
      </c>
      <c r="P330" s="2">
        <f t="shared" si="17"/>
        <v>0.9476555867622309</v>
      </c>
      <c r="R330">
        <v>0.05317010344662431</v>
      </c>
    </row>
    <row r="331" spans="1:18" ht="12.75">
      <c r="A331" s="1">
        <f>DATE(1974,4,1)</f>
        <v>27120</v>
      </c>
      <c r="B331">
        <v>1974</v>
      </c>
      <c r="C331">
        <v>4</v>
      </c>
      <c r="D331">
        <v>8.23</v>
      </c>
      <c r="F331" s="3">
        <f>DATE(1974,4,1)</f>
        <v>27120</v>
      </c>
      <c r="G331">
        <v>48</v>
      </c>
      <c r="H331">
        <v>48.1</v>
      </c>
      <c r="I331" s="2">
        <f t="shared" si="15"/>
        <v>1.0062761506276152</v>
      </c>
      <c r="J331" s="2">
        <f t="shared" si="16"/>
        <v>-4.600392488287996</v>
      </c>
      <c r="N331" s="2">
        <v>0.07612679737805035</v>
      </c>
      <c r="P331" s="2">
        <f t="shared" si="17"/>
        <v>0.3391086196126274</v>
      </c>
      <c r="R331">
        <v>-0.0530101974640629</v>
      </c>
    </row>
    <row r="332" spans="1:18" ht="12.75">
      <c r="A332" s="1">
        <f>DATE(1974,5,1)</f>
        <v>27150</v>
      </c>
      <c r="B332">
        <v>1974</v>
      </c>
      <c r="C332">
        <v>5</v>
      </c>
      <c r="D332">
        <v>8.43</v>
      </c>
      <c r="F332" s="3">
        <f>DATE(1974,5,1)</f>
        <v>27150</v>
      </c>
      <c r="G332">
        <v>48.6</v>
      </c>
      <c r="H332">
        <v>48.6</v>
      </c>
      <c r="I332" s="2">
        <f t="shared" si="15"/>
        <v>1.0103950103950103</v>
      </c>
      <c r="J332" s="2">
        <f t="shared" si="16"/>
        <v>0.5873346986793759</v>
      </c>
      <c r="N332" s="2">
        <v>0.06098406469919967</v>
      </c>
      <c r="P332" s="2">
        <f t="shared" si="17"/>
        <v>5.187727186967372</v>
      </c>
      <c r="R332">
        <v>0.040624042740553666</v>
      </c>
    </row>
    <row r="333" spans="1:18" ht="12.75">
      <c r="A333" s="1">
        <f>DATE(1974,6,1)</f>
        <v>27181</v>
      </c>
      <c r="B333">
        <v>1974</v>
      </c>
      <c r="C333">
        <v>6</v>
      </c>
      <c r="D333">
        <v>8.15</v>
      </c>
      <c r="F333" s="3">
        <f>DATE(1974,6,1)</f>
        <v>27181</v>
      </c>
      <c r="G333">
        <v>49</v>
      </c>
      <c r="H333">
        <v>49</v>
      </c>
      <c r="I333" s="2">
        <f t="shared" si="15"/>
        <v>1.008230452674897</v>
      </c>
      <c r="J333" s="2">
        <f t="shared" si="16"/>
        <v>-4.471664826891352</v>
      </c>
      <c r="N333" s="2">
        <v>0.05036232163255964</v>
      </c>
      <c r="P333" s="2">
        <f t="shared" si="17"/>
        <v>-5.058999525570728</v>
      </c>
      <c r="R333">
        <v>-0.010119938173907926</v>
      </c>
    </row>
    <row r="334" spans="1:18" ht="12.75">
      <c r="A334" s="1">
        <f>DATE(1974,7,1)</f>
        <v>27211</v>
      </c>
      <c r="B334">
        <v>1974</v>
      </c>
      <c r="C334">
        <v>7</v>
      </c>
      <c r="D334">
        <v>7.75</v>
      </c>
      <c r="F334" s="3">
        <f>DATE(1974,7,1)</f>
        <v>27211</v>
      </c>
      <c r="G334">
        <v>49.4</v>
      </c>
      <c r="H334">
        <v>49.3</v>
      </c>
      <c r="I334" s="2">
        <f t="shared" si="15"/>
        <v>1.0061224489795917</v>
      </c>
      <c r="J334" s="2">
        <f t="shared" si="16"/>
        <v>-2.343861019181037</v>
      </c>
      <c r="N334" s="2">
        <v>0.09429588213835803</v>
      </c>
      <c r="P334" s="2">
        <f t="shared" si="17"/>
        <v>2.127803807710315</v>
      </c>
      <c r="R334">
        <v>-0.05538486557517648</v>
      </c>
    </row>
    <row r="335" spans="1:18" ht="12.75">
      <c r="A335" s="1">
        <f>DATE(1974,8,1)</f>
        <v>27242</v>
      </c>
      <c r="B335">
        <v>1974</v>
      </c>
      <c r="C335">
        <v>8</v>
      </c>
      <c r="D335">
        <v>8.75</v>
      </c>
      <c r="F335" s="3">
        <f>DATE(1974,8,1)</f>
        <v>27242</v>
      </c>
      <c r="G335">
        <v>50</v>
      </c>
      <c r="H335">
        <v>49.9</v>
      </c>
      <c r="I335" s="2">
        <f t="shared" si="15"/>
        <v>1.0121703853955375</v>
      </c>
      <c r="J335" s="2">
        <f t="shared" si="16"/>
        <v>1.0692852987578494</v>
      </c>
      <c r="N335" s="2">
        <v>0.09950883135832866</v>
      </c>
      <c r="P335" s="2">
        <f t="shared" si="17"/>
        <v>3.4131463179388866</v>
      </c>
      <c r="R335">
        <v>0.04266818325084977</v>
      </c>
    </row>
    <row r="336" spans="1:18" ht="12.75">
      <c r="A336" s="1">
        <f>DATE(1974,9,1)</f>
        <v>27273</v>
      </c>
      <c r="B336">
        <v>1974</v>
      </c>
      <c r="C336">
        <v>9</v>
      </c>
      <c r="D336">
        <v>8.37</v>
      </c>
      <c r="F336" s="3">
        <f>DATE(1974,9,1)</f>
        <v>27273</v>
      </c>
      <c r="G336">
        <v>50.6</v>
      </c>
      <c r="H336">
        <v>50.6</v>
      </c>
      <c r="I336" s="2">
        <f t="shared" si="15"/>
        <v>1.0140280561122246</v>
      </c>
      <c r="J336" s="2">
        <f t="shared" si="16"/>
        <v>-6.272818543328906</v>
      </c>
      <c r="N336" s="2">
        <v>0.06588423675200666</v>
      </c>
      <c r="P336" s="2">
        <f t="shared" si="17"/>
        <v>-7.342103842086756</v>
      </c>
      <c r="R336">
        <v>0.03438951114705233</v>
      </c>
    </row>
    <row r="337" spans="1:18" ht="12.75">
      <c r="A337" s="1">
        <f>DATE(1974,10,1)</f>
        <v>27303</v>
      </c>
      <c r="B337">
        <v>1974</v>
      </c>
      <c r="C337">
        <v>10</v>
      </c>
      <c r="D337">
        <v>7.24</v>
      </c>
      <c r="F337" s="3">
        <f>DATE(1974,10,1)</f>
        <v>27303</v>
      </c>
      <c r="G337">
        <v>51.1</v>
      </c>
      <c r="H337">
        <v>51</v>
      </c>
      <c r="I337" s="2">
        <f t="shared" si="15"/>
        <v>1.007905138339921</v>
      </c>
      <c r="J337" s="2">
        <f t="shared" si="16"/>
        <v>-9.268696404236943</v>
      </c>
      <c r="N337" s="2">
        <v>0.046537809735956545</v>
      </c>
      <c r="P337" s="2">
        <f t="shared" si="17"/>
        <v>-2.9958778609080365</v>
      </c>
      <c r="R337">
        <v>-0.018406353765319055</v>
      </c>
    </row>
    <row r="338" spans="1:18" ht="12.75">
      <c r="A338" s="1">
        <f>DATE(1974,11,1)</f>
        <v>27334</v>
      </c>
      <c r="B338">
        <v>1974</v>
      </c>
      <c r="C338">
        <v>11</v>
      </c>
      <c r="D338">
        <v>7.59</v>
      </c>
      <c r="F338" s="3">
        <f>DATE(1974,11,1)</f>
        <v>27334</v>
      </c>
      <c r="G338">
        <v>51.5</v>
      </c>
      <c r="H338">
        <v>51.5</v>
      </c>
      <c r="I338" s="2">
        <f t="shared" si="15"/>
        <v>1.0098039215686274</v>
      </c>
      <c r="J338" s="2">
        <f t="shared" si="16"/>
        <v>-2.110525652068851</v>
      </c>
      <c r="N338" s="2">
        <v>0.04656681920088847</v>
      </c>
      <c r="P338" s="2">
        <f t="shared" si="17"/>
        <v>7.1581707521680915</v>
      </c>
      <c r="R338">
        <v>-0.012629032027283355</v>
      </c>
    </row>
    <row r="339" spans="1:18" ht="12.75">
      <c r="A339" s="1">
        <f>DATE(1974,12,1)</f>
        <v>27364</v>
      </c>
      <c r="B339">
        <v>1974</v>
      </c>
      <c r="C339">
        <v>12</v>
      </c>
      <c r="D339">
        <v>7.18</v>
      </c>
      <c r="F339" s="3">
        <f>DATE(1974,12,1)</f>
        <v>27364</v>
      </c>
      <c r="G339">
        <v>51.9</v>
      </c>
      <c r="H339">
        <v>51.9</v>
      </c>
      <c r="I339" s="2">
        <f t="shared" si="15"/>
        <v>1.007766990291262</v>
      </c>
      <c r="J339" s="2">
        <f t="shared" si="16"/>
        <v>-4.6613237918912915</v>
      </c>
      <c r="N339" s="2">
        <v>0.050760757817938214</v>
      </c>
      <c r="P339" s="2">
        <f t="shared" si="17"/>
        <v>-2.5507981398224406</v>
      </c>
      <c r="R339">
        <v>-0.00753261258917625</v>
      </c>
    </row>
    <row r="340" spans="1:18" ht="12.75">
      <c r="A340" s="1">
        <f>DATE(1975,1,1)</f>
        <v>27395</v>
      </c>
      <c r="B340">
        <v>1975</v>
      </c>
      <c r="C340">
        <v>1</v>
      </c>
      <c r="D340">
        <v>6.49</v>
      </c>
      <c r="F340" s="3">
        <f>DATE(1975,1,1)</f>
        <v>27395</v>
      </c>
      <c r="G340">
        <v>52.1</v>
      </c>
      <c r="H340">
        <v>52.3</v>
      </c>
      <c r="I340" s="2">
        <f t="shared" si="15"/>
        <v>1.0077071290944124</v>
      </c>
      <c r="J340" s="2">
        <f t="shared" si="16"/>
        <v>-2.951845447749424</v>
      </c>
      <c r="N340" s="2">
        <v>0.04422168292137356</v>
      </c>
      <c r="P340" s="2">
        <f t="shared" si="17"/>
        <v>1.7094783441418677</v>
      </c>
      <c r="R340">
        <v>0.012912405389898147</v>
      </c>
    </row>
    <row r="341" spans="1:18" ht="12.75">
      <c r="A341" s="1">
        <f>DATE(1975,2,1)</f>
        <v>27426</v>
      </c>
      <c r="B341">
        <v>1975</v>
      </c>
      <c r="C341">
        <v>2</v>
      </c>
      <c r="D341">
        <v>5.59</v>
      </c>
      <c r="F341" s="3">
        <f>DATE(1975,2,1)</f>
        <v>27426</v>
      </c>
      <c r="G341">
        <v>52.5</v>
      </c>
      <c r="H341">
        <v>52.6</v>
      </c>
      <c r="I341" s="2">
        <f t="shared" si="15"/>
        <v>1.0057361376673042</v>
      </c>
      <c r="J341" s="2">
        <f t="shared" si="16"/>
        <v>-3.703430123152407</v>
      </c>
      <c r="N341" s="2">
        <v>0.02884144623970332</v>
      </c>
      <c r="P341" s="2">
        <f t="shared" si="17"/>
        <v>-0.7515846754029831</v>
      </c>
      <c r="R341">
        <v>0.008456061870845504</v>
      </c>
    </row>
    <row r="342" spans="1:18" ht="12.75">
      <c r="A342" s="1">
        <f>DATE(1975,3,1)</f>
        <v>27454</v>
      </c>
      <c r="B342">
        <v>1975</v>
      </c>
      <c r="C342">
        <v>3</v>
      </c>
      <c r="D342">
        <v>5.55</v>
      </c>
      <c r="F342" s="3">
        <f>DATE(1975,3,1)</f>
        <v>27454</v>
      </c>
      <c r="G342">
        <v>52.7</v>
      </c>
      <c r="H342">
        <v>52.8</v>
      </c>
      <c r="I342" s="2">
        <f t="shared" si="15"/>
        <v>1.0038022813688212</v>
      </c>
      <c r="J342" s="2">
        <f t="shared" si="16"/>
        <v>-1.4516007718856416</v>
      </c>
      <c r="N342" s="2">
        <v>0.02914698940942176</v>
      </c>
      <c r="P342" s="2">
        <f t="shared" si="17"/>
        <v>2.2518293512667653</v>
      </c>
      <c r="R342">
        <v>-0.01416250156136111</v>
      </c>
    </row>
    <row r="343" spans="1:18" ht="12.75">
      <c r="A343" s="1">
        <f>DATE(1975,4,1)</f>
        <v>27485</v>
      </c>
      <c r="B343">
        <v>1975</v>
      </c>
      <c r="C343">
        <v>4</v>
      </c>
      <c r="D343">
        <v>5.69</v>
      </c>
      <c r="F343" s="3">
        <f>DATE(1975,4,1)</f>
        <v>27485</v>
      </c>
      <c r="G343">
        <v>52.9</v>
      </c>
      <c r="H343">
        <v>53</v>
      </c>
      <c r="I343" s="2">
        <f t="shared" si="15"/>
        <v>1.003787878787879</v>
      </c>
      <c r="J343" s="2">
        <f t="shared" si="16"/>
        <v>0.9847413210216871</v>
      </c>
      <c r="N343" s="2">
        <v>0.024546307523188517</v>
      </c>
      <c r="P343" s="2">
        <f t="shared" si="17"/>
        <v>2.4363420929073287</v>
      </c>
      <c r="R343">
        <v>0.0074252134866167685</v>
      </c>
    </row>
    <row r="344" spans="1:18" ht="12.75">
      <c r="A344" s="1">
        <f>DATE(1975,5,1)</f>
        <v>27515</v>
      </c>
      <c r="B344">
        <v>1975</v>
      </c>
      <c r="C344">
        <v>5</v>
      </c>
      <c r="D344">
        <v>5.32</v>
      </c>
      <c r="F344" s="3">
        <f>DATE(1975,5,1)</f>
        <v>27515</v>
      </c>
      <c r="G344">
        <v>53.2</v>
      </c>
      <c r="H344">
        <v>53.1</v>
      </c>
      <c r="I344" s="2">
        <f t="shared" si="15"/>
        <v>1.0018867924528303</v>
      </c>
      <c r="J344" s="2">
        <f t="shared" si="16"/>
        <v>0.6485414374130638</v>
      </c>
      <c r="N344" s="2">
        <v>0.03616178187708239</v>
      </c>
      <c r="P344" s="2">
        <f t="shared" si="17"/>
        <v>-0.3361998836086233</v>
      </c>
      <c r="R344">
        <v>-0.01805489869869726</v>
      </c>
    </row>
    <row r="345" spans="1:18" ht="12.75">
      <c r="A345" s="1">
        <f>DATE(1975,6,1)</f>
        <v>27546</v>
      </c>
      <c r="B345">
        <v>1975</v>
      </c>
      <c r="C345">
        <v>6</v>
      </c>
      <c r="D345">
        <v>5.2</v>
      </c>
      <c r="F345" s="3">
        <f>DATE(1975,6,1)</f>
        <v>27546</v>
      </c>
      <c r="G345">
        <v>53.6</v>
      </c>
      <c r="H345">
        <v>53.5</v>
      </c>
      <c r="I345" s="2">
        <f t="shared" si="15"/>
        <v>1.0075329566854991</v>
      </c>
      <c r="J345" s="2">
        <f t="shared" si="16"/>
        <v>2.847069624673071</v>
      </c>
      <c r="N345" s="2">
        <v>0.07298918156697604</v>
      </c>
      <c r="P345" s="2">
        <f t="shared" si="17"/>
        <v>2.198528187260007</v>
      </c>
      <c r="R345">
        <v>-0.022470856011479808</v>
      </c>
    </row>
    <row r="346" spans="1:18" ht="12.75">
      <c r="A346" s="1">
        <f>DATE(1975,7,1)</f>
        <v>27576</v>
      </c>
      <c r="B346">
        <v>1975</v>
      </c>
      <c r="C346">
        <v>7</v>
      </c>
      <c r="D346">
        <v>6.17</v>
      </c>
      <c r="F346" s="3">
        <f>DATE(1975,7,1)</f>
        <v>27576</v>
      </c>
      <c r="G346">
        <v>54.2</v>
      </c>
      <c r="H346">
        <v>54</v>
      </c>
      <c r="I346" s="2">
        <f t="shared" si="15"/>
        <v>1.0093457943925233</v>
      </c>
      <c r="J346" s="2">
        <f t="shared" si="16"/>
        <v>-2.9734283839187303</v>
      </c>
      <c r="N346" s="2">
        <v>0.06956622755841385</v>
      </c>
      <c r="P346" s="2">
        <f t="shared" si="17"/>
        <v>-5.820498008591802</v>
      </c>
      <c r="R346">
        <v>0.035711816230286714</v>
      </c>
    </row>
    <row r="347" spans="1:18" ht="12.75">
      <c r="A347" s="1">
        <f>DATE(1975,8,1)</f>
        <v>27607</v>
      </c>
      <c r="B347">
        <v>1975</v>
      </c>
      <c r="C347">
        <v>8</v>
      </c>
      <c r="D347">
        <v>6.46</v>
      </c>
      <c r="F347" s="3">
        <f>DATE(1975,8,1)</f>
        <v>27607</v>
      </c>
      <c r="G347">
        <v>54.3</v>
      </c>
      <c r="H347">
        <v>54.2</v>
      </c>
      <c r="I347" s="2">
        <f t="shared" si="15"/>
        <v>1.0037037037037038</v>
      </c>
      <c r="J347" s="2">
        <f t="shared" si="16"/>
        <v>-4.7847026063308595</v>
      </c>
      <c r="N347" s="2">
        <v>0.05503924378660274</v>
      </c>
      <c r="P347" s="2">
        <f t="shared" si="17"/>
        <v>-1.8112742224121292</v>
      </c>
      <c r="R347">
        <v>0.00976826670241557</v>
      </c>
    </row>
    <row r="348" spans="1:18" ht="12.75">
      <c r="A348" s="1">
        <f>DATE(1975,9,1)</f>
        <v>27638</v>
      </c>
      <c r="B348">
        <v>1975</v>
      </c>
      <c r="C348">
        <v>9</v>
      </c>
      <c r="D348">
        <v>6.38</v>
      </c>
      <c r="F348" s="3">
        <f>DATE(1975,9,1)</f>
        <v>27638</v>
      </c>
      <c r="G348">
        <v>54.6</v>
      </c>
      <c r="H348">
        <v>54.6</v>
      </c>
      <c r="I348" s="2">
        <f t="shared" si="15"/>
        <v>1.007380073800738</v>
      </c>
      <c r="J348" s="2">
        <f t="shared" si="16"/>
        <v>1.7638819276640794</v>
      </c>
      <c r="N348" s="2">
        <v>0.0418806417283673</v>
      </c>
      <c r="P348" s="2">
        <f t="shared" si="17"/>
        <v>6.548584533994939</v>
      </c>
      <c r="R348">
        <v>0.00450876576388068</v>
      </c>
    </row>
    <row r="349" spans="1:18" ht="12.75">
      <c r="A349" s="1">
        <f>DATE(1975,10,1)</f>
        <v>27668</v>
      </c>
      <c r="B349">
        <v>1975</v>
      </c>
      <c r="C349">
        <v>10</v>
      </c>
      <c r="D349">
        <v>6.08</v>
      </c>
      <c r="F349" s="3">
        <f>DATE(1975,10,1)</f>
        <v>27668</v>
      </c>
      <c r="G349">
        <v>54.9</v>
      </c>
      <c r="H349">
        <v>54.9</v>
      </c>
      <c r="I349" s="2">
        <f t="shared" si="15"/>
        <v>1.0054945054945055</v>
      </c>
      <c r="J349" s="2">
        <f t="shared" si="16"/>
        <v>-2.878979509806978</v>
      </c>
      <c r="N349" s="2">
        <v>0.06473998973358286</v>
      </c>
      <c r="P349" s="2">
        <f t="shared" si="17"/>
        <v>-4.6428614374710575</v>
      </c>
      <c r="R349">
        <v>-0.04183011140059653</v>
      </c>
    </row>
    <row r="350" spans="1:18" ht="12.75">
      <c r="A350" s="1">
        <f>DATE(1975,11,1)</f>
        <v>27699</v>
      </c>
      <c r="B350">
        <v>1975</v>
      </c>
      <c r="C350">
        <v>11</v>
      </c>
      <c r="D350">
        <v>5.47</v>
      </c>
      <c r="F350" s="3">
        <f>DATE(1975,11,1)</f>
        <v>27699</v>
      </c>
      <c r="G350">
        <v>55.3</v>
      </c>
      <c r="H350">
        <v>55.3</v>
      </c>
      <c r="I350" s="2">
        <f t="shared" si="15"/>
        <v>1.0072859744990892</v>
      </c>
      <c r="J350" s="2">
        <f t="shared" si="16"/>
        <v>-1.2419456875385593</v>
      </c>
      <c r="N350" s="2">
        <v>0.05408446601849179</v>
      </c>
      <c r="P350" s="2">
        <f t="shared" si="17"/>
        <v>1.6370338222684189</v>
      </c>
      <c r="R350">
        <v>0.036262758494078964</v>
      </c>
    </row>
    <row r="351" spans="1:18" ht="12.75">
      <c r="A351" s="1">
        <f>DATE(1975,12,1)</f>
        <v>27729</v>
      </c>
      <c r="B351">
        <v>1975</v>
      </c>
      <c r="C351">
        <v>12</v>
      </c>
      <c r="D351">
        <v>5.5</v>
      </c>
      <c r="F351" s="3">
        <f>DATE(1975,12,1)</f>
        <v>27729</v>
      </c>
      <c r="G351">
        <v>55.5</v>
      </c>
      <c r="H351">
        <v>55.6</v>
      </c>
      <c r="I351" s="2">
        <f t="shared" si="15"/>
        <v>1.0054249547920435</v>
      </c>
      <c r="J351" s="2">
        <f t="shared" si="16"/>
        <v>-3.301660295424924</v>
      </c>
      <c r="N351" s="2">
        <v>0.053298659467746395</v>
      </c>
      <c r="P351" s="2">
        <f t="shared" si="17"/>
        <v>-2.059714607886365</v>
      </c>
      <c r="R351">
        <v>-0.012247954899562223</v>
      </c>
    </row>
    <row r="352" spans="1:18" ht="12.75">
      <c r="A352" s="1">
        <f>DATE(1976,1,1)</f>
        <v>27760</v>
      </c>
      <c r="B352">
        <v>1976</v>
      </c>
      <c r="C352">
        <v>1</v>
      </c>
      <c r="D352">
        <v>4.96</v>
      </c>
      <c r="F352" s="3">
        <f>DATE(1976,1,1)</f>
        <v>27760</v>
      </c>
      <c r="G352">
        <v>55.6</v>
      </c>
      <c r="H352">
        <v>55.8</v>
      </c>
      <c r="I352" s="2">
        <f t="shared" si="15"/>
        <v>1.0035971223021583</v>
      </c>
      <c r="J352" s="2">
        <f t="shared" si="16"/>
        <v>-1.6378758821617434</v>
      </c>
      <c r="N352" s="2">
        <v>0.05433161598507451</v>
      </c>
      <c r="P352" s="2">
        <f t="shared" si="17"/>
        <v>1.6637844132631807</v>
      </c>
      <c r="R352">
        <v>-0.00046862737596555236</v>
      </c>
    </row>
    <row r="353" spans="1:18" ht="12.75">
      <c r="A353" s="1">
        <f>DATE(1976,2,1)</f>
        <v>27791</v>
      </c>
      <c r="B353">
        <v>1976</v>
      </c>
      <c r="C353">
        <v>2</v>
      </c>
      <c r="D353">
        <v>4.85</v>
      </c>
      <c r="F353" s="3">
        <f>DATE(1976,2,1)</f>
        <v>27791</v>
      </c>
      <c r="G353">
        <v>55.8</v>
      </c>
      <c r="H353">
        <v>55.9</v>
      </c>
      <c r="I353" s="2">
        <f t="shared" si="15"/>
        <v>1.0017921146953406</v>
      </c>
      <c r="J353" s="2">
        <f t="shared" si="16"/>
        <v>0.42816941619838733</v>
      </c>
      <c r="N353" s="2">
        <v>0.06045943881788806</v>
      </c>
      <c r="P353" s="2">
        <f t="shared" si="17"/>
        <v>2.0660452983601307</v>
      </c>
      <c r="R353">
        <v>-0.0026049433548762583</v>
      </c>
    </row>
    <row r="354" spans="1:18" ht="12.75">
      <c r="A354" s="1">
        <f>DATE(1976,3,1)</f>
        <v>27820</v>
      </c>
      <c r="B354">
        <v>1976</v>
      </c>
      <c r="C354">
        <v>3</v>
      </c>
      <c r="D354">
        <v>5.05</v>
      </c>
      <c r="F354" s="3">
        <f>DATE(1976,3,1)</f>
        <v>27820</v>
      </c>
      <c r="G354">
        <v>55.9</v>
      </c>
      <c r="H354">
        <v>56</v>
      </c>
      <c r="I354" s="2">
        <f t="shared" si="15"/>
        <v>1.001788908765653</v>
      </c>
      <c r="J354" s="2">
        <f t="shared" si="16"/>
        <v>2.8169577429139947</v>
      </c>
      <c r="N354" s="2">
        <v>0.0696885252909958</v>
      </c>
      <c r="P354" s="2">
        <f t="shared" si="17"/>
        <v>2.3887883267156074</v>
      </c>
      <c r="R354">
        <v>-0.0007973310719818998</v>
      </c>
    </row>
    <row r="355" spans="1:18" ht="12.75">
      <c r="A355" s="1">
        <f>DATE(1976,4,1)</f>
        <v>27851</v>
      </c>
      <c r="B355">
        <v>1976</v>
      </c>
      <c r="C355">
        <v>4</v>
      </c>
      <c r="D355">
        <v>4.88</v>
      </c>
      <c r="F355" s="3">
        <f>DATE(1976,4,1)</f>
        <v>27851</v>
      </c>
      <c r="G355">
        <v>56.1</v>
      </c>
      <c r="H355">
        <v>56.1</v>
      </c>
      <c r="I355" s="2">
        <f t="shared" si="15"/>
        <v>1.0017857142857143</v>
      </c>
      <c r="J355" s="2">
        <f t="shared" si="16"/>
        <v>2.654513527480873</v>
      </c>
      <c r="N355" s="2">
        <v>0.06792268296376745</v>
      </c>
      <c r="P355" s="2">
        <f t="shared" si="17"/>
        <v>-0.16244421543312182</v>
      </c>
      <c r="R355">
        <v>0.01056815021759974</v>
      </c>
    </row>
    <row r="356" spans="1:18" ht="12.75">
      <c r="A356" s="1">
        <f>DATE(1976,5,1)</f>
        <v>27881</v>
      </c>
      <c r="B356">
        <v>1976</v>
      </c>
      <c r="C356">
        <v>5</v>
      </c>
      <c r="D356">
        <v>5.19</v>
      </c>
      <c r="F356" s="3">
        <f>DATE(1976,5,1)</f>
        <v>27881</v>
      </c>
      <c r="G356">
        <v>56.5</v>
      </c>
      <c r="H356">
        <v>56.4</v>
      </c>
      <c r="I356" s="2">
        <f t="shared" si="15"/>
        <v>1.0053475935828877</v>
      </c>
      <c r="J356" s="2">
        <f t="shared" si="16"/>
        <v>2.961875324474139</v>
      </c>
      <c r="N356" s="2">
        <v>0.077588476502516</v>
      </c>
      <c r="P356" s="2">
        <f t="shared" si="17"/>
        <v>0.30736179699326627</v>
      </c>
      <c r="R356">
        <v>-0.011498942588720728</v>
      </c>
    </row>
    <row r="357" spans="1:18" ht="12.75">
      <c r="A357" s="1">
        <f>DATE(1976,6,1)</f>
        <v>27912</v>
      </c>
      <c r="B357">
        <v>1976</v>
      </c>
      <c r="C357">
        <v>6</v>
      </c>
      <c r="D357">
        <v>5.45</v>
      </c>
      <c r="F357" s="3">
        <f>DATE(1976,6,1)</f>
        <v>27912</v>
      </c>
      <c r="G357">
        <v>56.8</v>
      </c>
      <c r="H357">
        <v>56.7</v>
      </c>
      <c r="I357" s="2">
        <f t="shared" si="15"/>
        <v>1.0053191489361704</v>
      </c>
      <c r="J357" s="2">
        <f t="shared" si="16"/>
        <v>-1.087387804959461</v>
      </c>
      <c r="N357" s="2">
        <v>0.042899688077944864</v>
      </c>
      <c r="P357" s="2">
        <f t="shared" si="17"/>
        <v>-4.0492631294336</v>
      </c>
      <c r="R357">
        <v>0.04154921543001193</v>
      </c>
    </row>
    <row r="358" spans="1:18" ht="12.75">
      <c r="A358" s="1">
        <f>DATE(1976,7,1)</f>
        <v>27942</v>
      </c>
      <c r="B358">
        <v>1976</v>
      </c>
      <c r="C358">
        <v>7</v>
      </c>
      <c r="D358">
        <v>5.28</v>
      </c>
      <c r="F358" s="3">
        <f>DATE(1976,7,1)</f>
        <v>27942</v>
      </c>
      <c r="G358">
        <v>57.1</v>
      </c>
      <c r="H358">
        <v>57</v>
      </c>
      <c r="I358" s="2">
        <f t="shared" si="15"/>
        <v>1.0052910052910053</v>
      </c>
      <c r="J358" s="2">
        <f t="shared" si="16"/>
        <v>-1.2133137794649418</v>
      </c>
      <c r="N358" s="2">
        <v>0.03106302405725076</v>
      </c>
      <c r="P358" s="2">
        <f t="shared" si="17"/>
        <v>-0.12592597450548082</v>
      </c>
      <c r="R358">
        <v>-0.023127880574011366</v>
      </c>
    </row>
    <row r="359" spans="1:18" ht="12.75">
      <c r="A359" s="1">
        <f>DATE(1976,8,1)</f>
        <v>27973</v>
      </c>
      <c r="B359">
        <v>1976</v>
      </c>
      <c r="C359">
        <v>8</v>
      </c>
      <c r="D359">
        <v>5.15</v>
      </c>
      <c r="F359" s="3">
        <f>DATE(1976,8,1)</f>
        <v>27973</v>
      </c>
      <c r="G359">
        <v>57.4</v>
      </c>
      <c r="H359">
        <v>57.3</v>
      </c>
      <c r="I359" s="2">
        <f t="shared" si="15"/>
        <v>1.0052631578947369</v>
      </c>
      <c r="J359" s="2">
        <f t="shared" si="16"/>
        <v>-1.3021446784326818</v>
      </c>
      <c r="N359" s="2">
        <v>0.01624665531309441</v>
      </c>
      <c r="P359" s="2">
        <f t="shared" si="17"/>
        <v>-0.08883089896773999</v>
      </c>
      <c r="R359">
        <v>0.0036765078112035096</v>
      </c>
    </row>
    <row r="360" spans="1:18" ht="12.75">
      <c r="A360" s="1">
        <f>DATE(1976,9,1)</f>
        <v>28004</v>
      </c>
      <c r="B360">
        <v>1976</v>
      </c>
      <c r="C360">
        <v>9</v>
      </c>
      <c r="D360">
        <v>5.08</v>
      </c>
      <c r="F360" s="3">
        <f>DATE(1976,9,1)</f>
        <v>28004</v>
      </c>
      <c r="G360">
        <v>57.6</v>
      </c>
      <c r="H360">
        <v>57.6</v>
      </c>
      <c r="I360" s="2">
        <f t="shared" si="15"/>
        <v>1.005235602094241</v>
      </c>
      <c r="J360" s="2">
        <f t="shared" si="16"/>
        <v>-1.33505717021154</v>
      </c>
      <c r="N360" s="2">
        <v>0.027143986522487226</v>
      </c>
      <c r="P360" s="2">
        <f t="shared" si="17"/>
        <v>-0.03291249177885813</v>
      </c>
      <c r="R360">
        <v>-0.02685885627149023</v>
      </c>
    </row>
    <row r="361" spans="1:18" ht="12.75">
      <c r="A361" s="1">
        <f>DATE(1976,10,1)</f>
        <v>28034</v>
      </c>
      <c r="B361">
        <v>1976</v>
      </c>
      <c r="C361">
        <v>10</v>
      </c>
      <c r="D361">
        <v>4.93</v>
      </c>
      <c r="F361" s="3">
        <f>DATE(1976,10,1)</f>
        <v>28034</v>
      </c>
      <c r="G361">
        <v>57.9</v>
      </c>
      <c r="H361">
        <v>57.9</v>
      </c>
      <c r="I361" s="2">
        <f t="shared" si="15"/>
        <v>1.0052083333333333</v>
      </c>
      <c r="J361" s="2">
        <f t="shared" si="16"/>
        <v>-1.4434856496830184</v>
      </c>
      <c r="N361" s="2">
        <v>0.012668118960286683</v>
      </c>
      <c r="P361" s="2">
        <f t="shared" si="17"/>
        <v>-0.10842847947147849</v>
      </c>
      <c r="R361">
        <v>0.026150516579636754</v>
      </c>
    </row>
    <row r="362" spans="1:18" ht="12.75">
      <c r="A362" s="1">
        <f>DATE(1976,11,1)</f>
        <v>28065</v>
      </c>
      <c r="B362">
        <v>1976</v>
      </c>
      <c r="C362">
        <v>11</v>
      </c>
      <c r="D362">
        <v>4.81</v>
      </c>
      <c r="F362" s="3">
        <f>DATE(1976,11,1)</f>
        <v>28065</v>
      </c>
      <c r="G362">
        <v>58</v>
      </c>
      <c r="H362">
        <v>58.1</v>
      </c>
      <c r="I362" s="2">
        <f t="shared" si="15"/>
        <v>1.003454231433506</v>
      </c>
      <c r="J362" s="2">
        <f t="shared" si="16"/>
        <v>-1.52414564690182</v>
      </c>
      <c r="N362" s="2">
        <v>0.015094520902524958</v>
      </c>
      <c r="P362" s="2">
        <f t="shared" si="17"/>
        <v>-0.08065999721880157</v>
      </c>
      <c r="R362">
        <v>-0.017820222093701155</v>
      </c>
    </row>
    <row r="363" spans="1:18" ht="12.75">
      <c r="A363" s="1">
        <f>DATE(1976,12,1)</f>
        <v>28095</v>
      </c>
      <c r="B363">
        <v>1976</v>
      </c>
      <c r="C363">
        <v>12</v>
      </c>
      <c r="D363">
        <v>4.36</v>
      </c>
      <c r="F363" s="3">
        <f>DATE(1976,12,1)</f>
        <v>28095</v>
      </c>
      <c r="G363">
        <v>58.2</v>
      </c>
      <c r="H363">
        <v>58.4</v>
      </c>
      <c r="I363" s="2">
        <f t="shared" si="15"/>
        <v>1.0051635111876076</v>
      </c>
      <c r="J363" s="2">
        <f t="shared" si="16"/>
        <v>0.12977643016836016</v>
      </c>
      <c r="N363" s="2">
        <v>0.02962479705343847</v>
      </c>
      <c r="P363" s="2">
        <f t="shared" si="17"/>
        <v>1.6539220770701801</v>
      </c>
      <c r="R363">
        <v>-0.012029755946722802</v>
      </c>
    </row>
    <row r="364" spans="1:18" ht="12.75">
      <c r="A364" s="1">
        <f>DATE(1977,1,1)</f>
        <v>28126</v>
      </c>
      <c r="B364">
        <v>1977</v>
      </c>
      <c r="C364">
        <v>1</v>
      </c>
      <c r="D364">
        <v>4.6</v>
      </c>
      <c r="F364" s="3">
        <f>DATE(1977,1,1)</f>
        <v>28126</v>
      </c>
      <c r="G364">
        <v>58.5</v>
      </c>
      <c r="H364">
        <v>58.7</v>
      </c>
      <c r="I364" s="2">
        <f t="shared" si="15"/>
        <v>1.00513698630137</v>
      </c>
      <c r="J364" s="2">
        <f t="shared" si="16"/>
        <v>-1.6688523717816373</v>
      </c>
      <c r="N364" s="2">
        <v>0.037846108364409596</v>
      </c>
      <c r="P364" s="2">
        <f t="shared" si="17"/>
        <v>-1.7986288019499974</v>
      </c>
      <c r="R364">
        <v>0.004813645013388687</v>
      </c>
    </row>
    <row r="365" spans="1:18" ht="12.75">
      <c r="A365" s="1">
        <f>DATE(1977,2,1)</f>
        <v>28157</v>
      </c>
      <c r="B365">
        <v>1977</v>
      </c>
      <c r="C365">
        <v>2</v>
      </c>
      <c r="D365">
        <v>4.66</v>
      </c>
      <c r="F365" s="3">
        <f>DATE(1977,2,1)</f>
        <v>28157</v>
      </c>
      <c r="G365">
        <v>59.1</v>
      </c>
      <c r="H365">
        <v>59.3</v>
      </c>
      <c r="I365" s="2">
        <f t="shared" si="15"/>
        <v>1.010221465076661</v>
      </c>
      <c r="J365" s="2">
        <f t="shared" si="16"/>
        <v>-1.581287176785584</v>
      </c>
      <c r="N365" s="2">
        <v>0.01911687970439012</v>
      </c>
      <c r="P365" s="2">
        <f t="shared" si="17"/>
        <v>0.0875651949960532</v>
      </c>
      <c r="R365">
        <v>0.028970822037790566</v>
      </c>
    </row>
    <row r="366" spans="1:18" ht="12.75">
      <c r="A366" s="1">
        <f>DATE(1977,3,1)</f>
        <v>28185</v>
      </c>
      <c r="B366">
        <v>1977</v>
      </c>
      <c r="C366">
        <v>3</v>
      </c>
      <c r="D366">
        <v>4.61</v>
      </c>
      <c r="F366" s="3">
        <f>DATE(1977,3,1)</f>
        <v>28185</v>
      </c>
      <c r="G366">
        <v>59.5</v>
      </c>
      <c r="H366">
        <v>59.6</v>
      </c>
      <c r="I366" s="2">
        <f t="shared" si="15"/>
        <v>1.0050590219224285</v>
      </c>
      <c r="J366" s="2">
        <f t="shared" si="16"/>
        <v>-7.407865325890106</v>
      </c>
      <c r="N366" s="2">
        <v>0.005467073113872054</v>
      </c>
      <c r="P366" s="2">
        <f t="shared" si="17"/>
        <v>-5.826578149104522</v>
      </c>
      <c r="R366">
        <v>-0.011724465123056273</v>
      </c>
    </row>
    <row r="367" spans="1:18" ht="12.75">
      <c r="A367" s="1">
        <f>DATE(1977,4,1)</f>
        <v>28216</v>
      </c>
      <c r="B367">
        <v>1977</v>
      </c>
      <c r="C367">
        <v>4</v>
      </c>
      <c r="D367">
        <v>4.54</v>
      </c>
      <c r="F367" s="3">
        <f>DATE(1977,4,1)</f>
        <v>28216</v>
      </c>
      <c r="G367">
        <v>60</v>
      </c>
      <c r="H367">
        <v>60</v>
      </c>
      <c r="I367" s="2">
        <f t="shared" si="15"/>
        <v>1.006711409395973</v>
      </c>
      <c r="J367" s="2">
        <f t="shared" si="16"/>
        <v>-1.602582728461266</v>
      </c>
      <c r="N367" s="2">
        <v>-0.01845648398899608</v>
      </c>
      <c r="P367" s="2">
        <f t="shared" si="17"/>
        <v>5.805282597428841</v>
      </c>
      <c r="R367">
        <v>0.01691808412479912</v>
      </c>
    </row>
    <row r="368" spans="1:18" ht="12.75">
      <c r="A368" s="1">
        <f>DATE(1977,5,1)</f>
        <v>28246</v>
      </c>
      <c r="B368">
        <v>1977</v>
      </c>
      <c r="C368">
        <v>5</v>
      </c>
      <c r="D368">
        <v>4.94</v>
      </c>
      <c r="F368" s="3">
        <f>DATE(1977,5,1)</f>
        <v>28246</v>
      </c>
      <c r="G368">
        <v>60.3</v>
      </c>
      <c r="H368">
        <v>60.2</v>
      </c>
      <c r="I368" s="2">
        <f t="shared" si="15"/>
        <v>1.0033333333333334</v>
      </c>
      <c r="J368" s="2">
        <f t="shared" si="16"/>
        <v>-3.154115011354297</v>
      </c>
      <c r="N368" s="2">
        <v>-0.030233750555425255</v>
      </c>
      <c r="P368" s="2">
        <f t="shared" si="17"/>
        <v>-1.5515322828930311</v>
      </c>
      <c r="R368">
        <v>-0.013931114430244541</v>
      </c>
    </row>
    <row r="369" spans="1:18" ht="12.75">
      <c r="A369" s="1">
        <f>DATE(1977,6,1)</f>
        <v>28277</v>
      </c>
      <c r="B369">
        <v>1977</v>
      </c>
      <c r="C369">
        <v>6</v>
      </c>
      <c r="D369">
        <v>5</v>
      </c>
      <c r="F369" s="3">
        <f>DATE(1977,6,1)</f>
        <v>28277</v>
      </c>
      <c r="G369">
        <v>60.7</v>
      </c>
      <c r="H369">
        <v>60.5</v>
      </c>
      <c r="I369" s="2">
        <f t="shared" si="15"/>
        <v>1.004983388704319</v>
      </c>
      <c r="J369" s="2">
        <f t="shared" si="16"/>
        <v>0.8896019519154308</v>
      </c>
      <c r="N369" s="2">
        <v>-0.018278671825892878</v>
      </c>
      <c r="P369" s="2">
        <f t="shared" si="17"/>
        <v>4.043716963269728</v>
      </c>
      <c r="R369">
        <v>-0.0209567665171866</v>
      </c>
    </row>
    <row r="370" spans="1:18" ht="12.75">
      <c r="A370" s="1">
        <f>DATE(1977,7,1)</f>
        <v>28307</v>
      </c>
      <c r="B370">
        <v>1977</v>
      </c>
      <c r="C370">
        <v>7</v>
      </c>
      <c r="D370">
        <v>5.14</v>
      </c>
      <c r="F370" s="3">
        <f>DATE(1977,7,1)</f>
        <v>28307</v>
      </c>
      <c r="G370">
        <v>61</v>
      </c>
      <c r="H370">
        <v>60.8</v>
      </c>
      <c r="I370" s="2">
        <f t="shared" si="15"/>
        <v>1.0049586776859503</v>
      </c>
      <c r="J370" s="2">
        <f t="shared" si="16"/>
        <v>-0.948428105380994</v>
      </c>
      <c r="N370" s="2">
        <v>-0.033423131827839604</v>
      </c>
      <c r="P370" s="2">
        <f t="shared" si="17"/>
        <v>-1.8380300572964248</v>
      </c>
      <c r="R370">
        <v>0.026324851773061576</v>
      </c>
    </row>
    <row r="371" spans="1:18" ht="12.75">
      <c r="A371" s="1">
        <f>DATE(1977,8,1)</f>
        <v>28338</v>
      </c>
      <c r="B371">
        <v>1977</v>
      </c>
      <c r="C371">
        <v>8</v>
      </c>
      <c r="D371">
        <v>5.5</v>
      </c>
      <c r="F371" s="3">
        <f>DATE(1977,8,1)</f>
        <v>28338</v>
      </c>
      <c r="G371">
        <v>61.2</v>
      </c>
      <c r="H371">
        <v>61.1</v>
      </c>
      <c r="I371" s="2">
        <f t="shared" si="15"/>
        <v>1.004934210526316</v>
      </c>
      <c r="J371" s="2">
        <f t="shared" si="16"/>
        <v>-0.5799438251301248</v>
      </c>
      <c r="N371" s="2">
        <v>-0.01567254558983478</v>
      </c>
      <c r="P371" s="2">
        <f t="shared" si="17"/>
        <v>0.3684842802508692</v>
      </c>
      <c r="R371">
        <v>-0.03405589788105098</v>
      </c>
    </row>
    <row r="372" spans="1:18" ht="12.75">
      <c r="A372" s="1">
        <f>DATE(1977,9,1)</f>
        <v>28369</v>
      </c>
      <c r="B372">
        <v>1977</v>
      </c>
      <c r="C372">
        <v>9</v>
      </c>
      <c r="D372">
        <v>5.77</v>
      </c>
      <c r="F372" s="3">
        <f>DATE(1977,9,1)</f>
        <v>28369</v>
      </c>
      <c r="G372">
        <v>61.4</v>
      </c>
      <c r="H372">
        <v>61.3</v>
      </c>
      <c r="I372" s="2">
        <f t="shared" si="15"/>
        <v>1.0032733224222585</v>
      </c>
      <c r="J372" s="2">
        <f t="shared" si="16"/>
        <v>-0.29637864010233494</v>
      </c>
      <c r="N372" s="2">
        <v>-0.009073313880795979</v>
      </c>
      <c r="P372" s="2">
        <f t="shared" si="17"/>
        <v>0.2835651850277898</v>
      </c>
      <c r="R372">
        <v>0.0119042577194956</v>
      </c>
    </row>
    <row r="373" spans="1:18" ht="12.75">
      <c r="A373" s="1">
        <f>DATE(1977,10,1)</f>
        <v>28399</v>
      </c>
      <c r="B373">
        <v>1977</v>
      </c>
      <c r="C373">
        <v>10</v>
      </c>
      <c r="D373">
        <v>6.19</v>
      </c>
      <c r="F373" s="3">
        <f>DATE(1977,10,1)</f>
        <v>28399</v>
      </c>
      <c r="G373">
        <v>61.6</v>
      </c>
      <c r="H373">
        <v>61.6</v>
      </c>
      <c r="I373" s="2">
        <f t="shared" si="15"/>
        <v>1.00489396411093</v>
      </c>
      <c r="J373" s="2">
        <f t="shared" si="16"/>
        <v>2.106278941783768</v>
      </c>
      <c r="N373" s="2">
        <v>-0.0024445416304096114</v>
      </c>
      <c r="P373" s="2">
        <f t="shared" si="17"/>
        <v>2.402657581886103</v>
      </c>
      <c r="R373">
        <v>0.0023520920700221045</v>
      </c>
    </row>
    <row r="374" spans="1:18" ht="12.75">
      <c r="A374" s="1">
        <f>DATE(1977,11,1)</f>
        <v>28430</v>
      </c>
      <c r="B374">
        <v>1977</v>
      </c>
      <c r="C374">
        <v>11</v>
      </c>
      <c r="D374">
        <v>6.16</v>
      </c>
      <c r="F374" s="3">
        <f>DATE(1977,11,1)</f>
        <v>28430</v>
      </c>
      <c r="G374">
        <v>61.9</v>
      </c>
      <c r="H374">
        <v>62</v>
      </c>
      <c r="I374" s="2">
        <f t="shared" si="15"/>
        <v>1.0064935064935066</v>
      </c>
      <c r="J374" s="2">
        <f t="shared" si="16"/>
        <v>0.11935846239816694</v>
      </c>
      <c r="N374" s="2">
        <v>0.01822158096124208</v>
      </c>
      <c r="P374" s="2">
        <f t="shared" si="17"/>
        <v>-1.986920479385601</v>
      </c>
      <c r="R374">
        <v>-0.016402040404698608</v>
      </c>
    </row>
    <row r="375" spans="1:18" ht="12.75">
      <c r="A375" s="1">
        <f>DATE(1977,12,1)</f>
        <v>28460</v>
      </c>
      <c r="B375">
        <v>1977</v>
      </c>
      <c r="C375">
        <v>12</v>
      </c>
      <c r="D375">
        <v>6.06</v>
      </c>
      <c r="F375" s="3">
        <f>DATE(1977,12,1)</f>
        <v>28460</v>
      </c>
      <c r="G375">
        <v>62.1</v>
      </c>
      <c r="H375">
        <v>62.3</v>
      </c>
      <c r="I375" s="2">
        <f t="shared" si="15"/>
        <v>1.0048387096774194</v>
      </c>
      <c r="J375" s="2">
        <f t="shared" si="16"/>
        <v>-1.86591109057761</v>
      </c>
      <c r="N375" s="2">
        <v>-0.020063948385249192</v>
      </c>
      <c r="P375" s="2">
        <f t="shared" si="17"/>
        <v>-1.985269552975777</v>
      </c>
      <c r="R375">
        <v>0.05842486607002187</v>
      </c>
    </row>
    <row r="376" spans="1:18" ht="12.75">
      <c r="A376" s="1">
        <f>DATE(1978,1,1)</f>
        <v>28491</v>
      </c>
      <c r="B376">
        <v>1978</v>
      </c>
      <c r="C376">
        <v>1</v>
      </c>
      <c r="D376">
        <v>6.45</v>
      </c>
      <c r="F376" s="3">
        <f>DATE(1978,1,1)</f>
        <v>28491</v>
      </c>
      <c r="G376">
        <v>62.5</v>
      </c>
      <c r="H376">
        <v>62.7</v>
      </c>
      <c r="I376" s="2">
        <f t="shared" si="15"/>
        <v>1.0064205457463886</v>
      </c>
      <c r="J376" s="2">
        <f t="shared" si="16"/>
        <v>0.45912238907066527</v>
      </c>
      <c r="N376" s="2">
        <v>-0.05229877911830684</v>
      </c>
      <c r="P376" s="2">
        <f t="shared" si="17"/>
        <v>2.3250334796482752</v>
      </c>
      <c r="R376">
        <v>-0.003136079174826851</v>
      </c>
    </row>
    <row r="377" spans="1:18" ht="12.75">
      <c r="A377" s="1">
        <f>DATE(1978,2,1)</f>
        <v>28522</v>
      </c>
      <c r="B377">
        <v>1978</v>
      </c>
      <c r="C377">
        <v>2</v>
      </c>
      <c r="D377">
        <v>6.46</v>
      </c>
      <c r="F377" s="3">
        <f>DATE(1978,2,1)</f>
        <v>28522</v>
      </c>
      <c r="G377">
        <v>62.9</v>
      </c>
      <c r="H377">
        <v>63</v>
      </c>
      <c r="I377" s="2">
        <f t="shared" si="15"/>
        <v>1.0047846889952152</v>
      </c>
      <c r="J377" s="2">
        <f t="shared" si="16"/>
        <v>-1.4100760116727784</v>
      </c>
      <c r="N377" s="2">
        <v>-0.027841038579426103</v>
      </c>
      <c r="P377" s="2">
        <f t="shared" si="17"/>
        <v>-1.8691984007434437</v>
      </c>
      <c r="R377">
        <v>-0.06067131795724226</v>
      </c>
    </row>
    <row r="378" spans="1:18" ht="12.75">
      <c r="A378" s="1">
        <f>DATE(1978,3,1)</f>
        <v>28550</v>
      </c>
      <c r="B378">
        <v>1978</v>
      </c>
      <c r="C378">
        <v>3</v>
      </c>
      <c r="D378">
        <v>6.32</v>
      </c>
      <c r="F378" s="3">
        <f>DATE(1978,3,1)</f>
        <v>28550</v>
      </c>
      <c r="G378">
        <v>63.4</v>
      </c>
      <c r="H378">
        <v>63.4</v>
      </c>
      <c r="I378" s="2">
        <f t="shared" si="15"/>
        <v>1.0063492063492063</v>
      </c>
      <c r="J378" s="2">
        <f t="shared" si="16"/>
        <v>0.40119096345681005</v>
      </c>
      <c r="N378" s="2">
        <v>-0.031684542966827364</v>
      </c>
      <c r="P378" s="2">
        <f t="shared" si="17"/>
        <v>1.8112669751295885</v>
      </c>
      <c r="R378">
        <v>0.0302732735919064</v>
      </c>
    </row>
    <row r="379" spans="1:18" ht="12.75">
      <c r="A379" s="1">
        <f>DATE(1978,4,1)</f>
        <v>28581</v>
      </c>
      <c r="B379">
        <v>1978</v>
      </c>
      <c r="C379">
        <v>4</v>
      </c>
      <c r="D379">
        <v>6.31</v>
      </c>
      <c r="F379" s="3">
        <f>DATE(1978,4,1)</f>
        <v>28581</v>
      </c>
      <c r="G379">
        <v>63.9</v>
      </c>
      <c r="H379">
        <v>63.9</v>
      </c>
      <c r="I379" s="2">
        <f t="shared" si="15"/>
        <v>1.0078864353312302</v>
      </c>
      <c r="J379" s="2">
        <f t="shared" si="16"/>
        <v>-1.4652050838157904</v>
      </c>
      <c r="N379" s="2">
        <v>-0.042935512656153876</v>
      </c>
      <c r="P379" s="2">
        <f t="shared" si="17"/>
        <v>-1.8663960472726004</v>
      </c>
      <c r="R379">
        <v>0.00702461049049706</v>
      </c>
    </row>
    <row r="380" spans="1:18" ht="12.75">
      <c r="A380" s="1">
        <f>DATE(1978,5,1)</f>
        <v>28611</v>
      </c>
      <c r="B380">
        <v>1978</v>
      </c>
      <c r="C380">
        <v>5</v>
      </c>
      <c r="D380">
        <v>6.43</v>
      </c>
      <c r="F380" s="3">
        <f>DATE(1978,5,1)</f>
        <v>28611</v>
      </c>
      <c r="G380">
        <v>64.5</v>
      </c>
      <c r="H380">
        <v>64.5</v>
      </c>
      <c r="I380" s="2">
        <f t="shared" si="15"/>
        <v>1.0093896713615023</v>
      </c>
      <c r="J380" s="2">
        <f t="shared" si="16"/>
        <v>-3.1443725690785462</v>
      </c>
      <c r="N380" s="2">
        <v>-0.03492328589534261</v>
      </c>
      <c r="P380" s="2">
        <f t="shared" si="17"/>
        <v>-1.6791674852627558</v>
      </c>
      <c r="R380">
        <v>-0.020668953213802143</v>
      </c>
    </row>
    <row r="381" spans="1:18" ht="12.75">
      <c r="A381" s="1">
        <f>DATE(1978,6,1)</f>
        <v>28642</v>
      </c>
      <c r="B381">
        <v>1978</v>
      </c>
      <c r="C381">
        <v>6</v>
      </c>
      <c r="D381">
        <v>6.71</v>
      </c>
      <c r="F381" s="3">
        <f>DATE(1978,6,1)</f>
        <v>28642</v>
      </c>
      <c r="G381">
        <v>65.2</v>
      </c>
      <c r="H381">
        <v>65</v>
      </c>
      <c r="I381" s="2">
        <f t="shared" si="15"/>
        <v>1.0077519379844961</v>
      </c>
      <c r="J381" s="2">
        <f t="shared" si="16"/>
        <v>-4.610880020916142</v>
      </c>
      <c r="N381" s="2">
        <v>-0.007947652386582803</v>
      </c>
      <c r="P381" s="2">
        <f t="shared" si="17"/>
        <v>-1.4665074518375953</v>
      </c>
      <c r="R381">
        <v>-0.02298179136626931</v>
      </c>
    </row>
    <row r="382" spans="1:18" ht="12.75">
      <c r="A382" s="1">
        <f>DATE(1978,7,1)</f>
        <v>28672</v>
      </c>
      <c r="B382">
        <v>1978</v>
      </c>
      <c r="C382">
        <v>7</v>
      </c>
      <c r="D382">
        <v>7.08</v>
      </c>
      <c r="F382" s="3">
        <f>DATE(1978,7,1)</f>
        <v>28672</v>
      </c>
      <c r="G382">
        <v>65.7</v>
      </c>
      <c r="H382">
        <v>65.5</v>
      </c>
      <c r="I382" s="2">
        <f t="shared" si="15"/>
        <v>1.0076923076923077</v>
      </c>
      <c r="J382" s="2">
        <f t="shared" si="16"/>
        <v>-2.396664745450683</v>
      </c>
      <c r="N382" s="2">
        <v>0.013959682417229067</v>
      </c>
      <c r="P382" s="2">
        <f t="shared" si="17"/>
        <v>2.2142152754654587</v>
      </c>
      <c r="R382">
        <v>0.007292094382199858</v>
      </c>
    </row>
    <row r="383" spans="1:18" ht="12.75">
      <c r="A383" s="1">
        <f>DATE(1978,8,1)</f>
        <v>28703</v>
      </c>
      <c r="B383">
        <v>1978</v>
      </c>
      <c r="C383">
        <v>8</v>
      </c>
      <c r="D383">
        <v>7.04</v>
      </c>
      <c r="F383" s="3">
        <f>DATE(1978,8,1)</f>
        <v>28703</v>
      </c>
      <c r="G383">
        <v>66</v>
      </c>
      <c r="H383">
        <v>65.9</v>
      </c>
      <c r="I383" s="2">
        <f t="shared" si="15"/>
        <v>1.0061068702290077</v>
      </c>
      <c r="J383" s="2">
        <f t="shared" si="16"/>
        <v>-2.363819806310885</v>
      </c>
      <c r="N383" s="2">
        <v>0.021993352998275532</v>
      </c>
      <c r="P383" s="2">
        <f t="shared" si="17"/>
        <v>0.0328449391397978</v>
      </c>
      <c r="R383">
        <v>0.015414600333639143</v>
      </c>
    </row>
    <row r="384" spans="1:18" ht="12.75">
      <c r="A384" s="1">
        <f>DATE(1978,9,1)</f>
        <v>28734</v>
      </c>
      <c r="B384">
        <v>1978</v>
      </c>
      <c r="C384">
        <v>9</v>
      </c>
      <c r="D384">
        <v>7.84</v>
      </c>
      <c r="F384" s="3">
        <f>DATE(1978,9,1)</f>
        <v>28734</v>
      </c>
      <c r="G384">
        <v>66.5</v>
      </c>
      <c r="H384">
        <v>66.5</v>
      </c>
      <c r="I384" s="2">
        <f t="shared" si="15"/>
        <v>1.0091047040971168</v>
      </c>
      <c r="J384" s="2">
        <f t="shared" si="16"/>
        <v>0.24218026066302745</v>
      </c>
      <c r="N384" s="2">
        <v>0.007691682565343046</v>
      </c>
      <c r="P384" s="2">
        <f t="shared" si="17"/>
        <v>2.6060000669739125</v>
      </c>
      <c r="R384">
        <v>0.024724462909525884</v>
      </c>
    </row>
    <row r="385" spans="1:18" ht="12.75">
      <c r="A385" s="1">
        <f>DATE(1978,10,1)</f>
        <v>28764</v>
      </c>
      <c r="B385">
        <v>1978</v>
      </c>
      <c r="C385">
        <v>10</v>
      </c>
      <c r="D385">
        <v>8.13</v>
      </c>
      <c r="F385" s="3">
        <f>DATE(1978,10,1)</f>
        <v>28764</v>
      </c>
      <c r="G385">
        <v>67.1</v>
      </c>
      <c r="H385">
        <v>67.1</v>
      </c>
      <c r="I385" s="2">
        <f t="shared" si="15"/>
        <v>1.0090225563909774</v>
      </c>
      <c r="J385" s="2">
        <f t="shared" si="16"/>
        <v>-3.0134670675100006</v>
      </c>
      <c r="N385" s="2">
        <v>0.005846334225886997</v>
      </c>
      <c r="P385" s="2">
        <f t="shared" si="17"/>
        <v>-3.255647328173028</v>
      </c>
      <c r="R385">
        <v>-0.01489227344935686</v>
      </c>
    </row>
    <row r="386" spans="1:18" ht="12.75">
      <c r="A386" s="1">
        <f>DATE(1978,11,1)</f>
        <v>28795</v>
      </c>
      <c r="B386">
        <v>1978</v>
      </c>
      <c r="C386">
        <v>11</v>
      </c>
      <c r="D386">
        <v>8.79</v>
      </c>
      <c r="F386" s="3">
        <f>DATE(1978,11,1)</f>
        <v>28795</v>
      </c>
      <c r="G386">
        <v>67.4</v>
      </c>
      <c r="H386">
        <v>67.5</v>
      </c>
      <c r="I386" s="2">
        <f t="shared" si="15"/>
        <v>1.0059612518628913</v>
      </c>
      <c r="J386" s="2">
        <f t="shared" si="16"/>
        <v>-2.3261113689416413</v>
      </c>
      <c r="N386" s="2">
        <v>0.0021920327551860582</v>
      </c>
      <c r="P386" s="2">
        <f t="shared" si="17"/>
        <v>0.6873556985683593</v>
      </c>
      <c r="R386">
        <v>0.0015648299916607047</v>
      </c>
    </row>
    <row r="387" spans="1:18" ht="12.75">
      <c r="A387" s="1">
        <f>DATE(1978,12,1)</f>
        <v>28825</v>
      </c>
      <c r="B387">
        <v>1978</v>
      </c>
      <c r="C387">
        <v>12</v>
      </c>
      <c r="D387">
        <v>9.12</v>
      </c>
      <c r="F387" s="3">
        <f>DATE(1978,12,1)</f>
        <v>28825</v>
      </c>
      <c r="G387">
        <v>67.7</v>
      </c>
      <c r="H387">
        <v>67.9</v>
      </c>
      <c r="I387" s="2">
        <f t="shared" si="15"/>
        <v>1.0059259259259261</v>
      </c>
      <c r="J387" s="2">
        <f t="shared" si="16"/>
        <v>1.6083327751739374</v>
      </c>
      <c r="N387" s="2">
        <v>0.003913519932911234</v>
      </c>
      <c r="P387" s="2">
        <f t="shared" si="17"/>
        <v>3.9344441441155786</v>
      </c>
      <c r="R387">
        <v>-0.0018876065922581447</v>
      </c>
    </row>
    <row r="388" spans="1:18" ht="12.75">
      <c r="A388" s="1">
        <f>DATE(1979,1,1)</f>
        <v>28856</v>
      </c>
      <c r="B388">
        <v>1979</v>
      </c>
      <c r="C388">
        <v>1</v>
      </c>
      <c r="D388">
        <v>9.35</v>
      </c>
      <c r="F388" s="3">
        <f>DATE(1979,1,1)</f>
        <v>28856</v>
      </c>
      <c r="G388">
        <v>68.3</v>
      </c>
      <c r="H388">
        <v>68.5</v>
      </c>
      <c r="I388" s="2">
        <f t="shared" si="15"/>
        <v>1.0088365243004418</v>
      </c>
      <c r="J388" s="2">
        <f t="shared" si="16"/>
        <v>1.8654176122038457</v>
      </c>
      <c r="N388" s="2">
        <v>0.004996068246793755</v>
      </c>
      <c r="P388" s="2">
        <f t="shared" si="17"/>
        <v>0.25708483702990836</v>
      </c>
      <c r="R388">
        <v>0.001923157287928879</v>
      </c>
    </row>
    <row r="389" spans="1:18" ht="12.75">
      <c r="A389" s="1">
        <f>DATE(1979,2,1)</f>
        <v>28887</v>
      </c>
      <c r="B389">
        <v>1979</v>
      </c>
      <c r="C389">
        <v>2</v>
      </c>
      <c r="D389">
        <v>9.27</v>
      </c>
      <c r="F389" s="3">
        <f>DATE(1979,2,1)</f>
        <v>28887</v>
      </c>
      <c r="G389">
        <v>69.1</v>
      </c>
      <c r="H389">
        <v>69.2</v>
      </c>
      <c r="I389" s="2">
        <f t="shared" si="15"/>
        <v>1.0102189781021897</v>
      </c>
      <c r="J389" s="2">
        <f t="shared" si="16"/>
        <v>-1.677847763194118</v>
      </c>
      <c r="N389" s="2">
        <v>0.002358295439695031</v>
      </c>
      <c r="P389" s="2">
        <f t="shared" si="17"/>
        <v>-3.5432653753979637</v>
      </c>
      <c r="R389">
        <v>0.00048265061909749733</v>
      </c>
    </row>
    <row r="390" spans="1:18" ht="12.75">
      <c r="A390" s="1">
        <f>DATE(1979,3,1)</f>
        <v>28915</v>
      </c>
      <c r="B390">
        <v>1979</v>
      </c>
      <c r="C390">
        <v>3</v>
      </c>
      <c r="D390">
        <v>9.46</v>
      </c>
      <c r="F390" s="3">
        <f>DATE(1979,3,1)</f>
        <v>28915</v>
      </c>
      <c r="G390">
        <v>69.8</v>
      </c>
      <c r="H390">
        <v>69.9</v>
      </c>
      <c r="I390" s="2">
        <f aca="true" t="shared" si="18" ref="I390:I453">H390/H389</f>
        <v>1.0101156069364163</v>
      </c>
      <c r="J390" s="2">
        <f t="shared" si="16"/>
        <v>-3.1121835801378728</v>
      </c>
      <c r="N390" s="2">
        <v>-0.007420179894464097</v>
      </c>
      <c r="P390" s="2">
        <f t="shared" si="17"/>
        <v>-1.4343358169437548</v>
      </c>
      <c r="R390">
        <v>0.005021426093546218</v>
      </c>
    </row>
    <row r="391" spans="1:18" ht="12.75">
      <c r="A391" s="1">
        <f>DATE(1979,4,1)</f>
        <v>28946</v>
      </c>
      <c r="B391">
        <v>1979</v>
      </c>
      <c r="C391">
        <v>4</v>
      </c>
      <c r="D391">
        <v>9.49</v>
      </c>
      <c r="F391" s="3">
        <f>DATE(1979,4,1)</f>
        <v>28946</v>
      </c>
      <c r="G391">
        <v>70.6</v>
      </c>
      <c r="H391">
        <v>70.6</v>
      </c>
      <c r="I391" s="2">
        <f t="shared" si="18"/>
        <v>1.0100143061516451</v>
      </c>
      <c r="J391" s="2">
        <f aca="true" t="shared" si="19" ref="J391:J454">((1+D391/100)/(I390^12)-1)*100</f>
        <v>-2.9665483433545137</v>
      </c>
      <c r="N391" s="2">
        <v>-0.000996967848952411</v>
      </c>
      <c r="P391" s="2">
        <f t="shared" si="17"/>
        <v>0.1456352367833591</v>
      </c>
      <c r="R391">
        <v>-0.016741501013812964</v>
      </c>
    </row>
    <row r="392" spans="1:18" ht="12.75">
      <c r="A392" s="1">
        <f>DATE(1979,5,1)</f>
        <v>28976</v>
      </c>
      <c r="B392">
        <v>1979</v>
      </c>
      <c r="C392">
        <v>5</v>
      </c>
      <c r="D392">
        <v>9.58</v>
      </c>
      <c r="F392" s="3">
        <f>DATE(1979,5,1)</f>
        <v>28976</v>
      </c>
      <c r="G392">
        <v>71.5</v>
      </c>
      <c r="H392">
        <v>71.4</v>
      </c>
      <c r="I392" s="2">
        <f t="shared" si="18"/>
        <v>1.011331444759207</v>
      </c>
      <c r="J392" s="2">
        <f t="shared" si="19"/>
        <v>-2.76984178959514</v>
      </c>
      <c r="N392" s="2">
        <v>0.014482775486362894</v>
      </c>
      <c r="P392" s="2">
        <f aca="true" t="shared" si="20" ref="P392:P455">J392-J391</f>
        <v>0.19670655375937374</v>
      </c>
      <c r="R392">
        <v>-0.009177909065643598</v>
      </c>
    </row>
    <row r="393" spans="1:18" ht="12.75">
      <c r="A393" s="1">
        <f>DATE(1979,6,1)</f>
        <v>29007</v>
      </c>
      <c r="B393">
        <v>1979</v>
      </c>
      <c r="C393">
        <v>6</v>
      </c>
      <c r="D393">
        <v>9.05</v>
      </c>
      <c r="F393" s="3">
        <f>DATE(1979,6,1)</f>
        <v>29007</v>
      </c>
      <c r="G393">
        <v>72.3</v>
      </c>
      <c r="H393">
        <v>72.2</v>
      </c>
      <c r="I393" s="2">
        <f t="shared" si="18"/>
        <v>1.011204481792717</v>
      </c>
      <c r="J393" s="2">
        <f t="shared" si="19"/>
        <v>-4.741543283440464</v>
      </c>
      <c r="N393" s="2">
        <v>0.04156944655771766</v>
      </c>
      <c r="P393" s="2">
        <f t="shared" si="20"/>
        <v>-1.9717014938453241</v>
      </c>
      <c r="R393">
        <v>-0.013863103441698239</v>
      </c>
    </row>
    <row r="394" spans="1:18" ht="12.75">
      <c r="A394" s="1">
        <f>DATE(1979,7,1)</f>
        <v>29037</v>
      </c>
      <c r="B394">
        <v>1979</v>
      </c>
      <c r="C394">
        <v>7</v>
      </c>
      <c r="D394">
        <v>9.27</v>
      </c>
      <c r="F394" s="3">
        <f>DATE(1979,7,1)</f>
        <v>29037</v>
      </c>
      <c r="G394">
        <v>73.1</v>
      </c>
      <c r="H394">
        <v>73</v>
      </c>
      <c r="I394" s="2">
        <f t="shared" si="18"/>
        <v>1.0110803324099722</v>
      </c>
      <c r="J394" s="2">
        <f t="shared" si="19"/>
        <v>-4.405454313260771</v>
      </c>
      <c r="N394" s="2">
        <v>0.013694518110016103</v>
      </c>
      <c r="P394" s="2">
        <f t="shared" si="20"/>
        <v>0.3360889701796932</v>
      </c>
      <c r="R394">
        <v>0.05746712624754984</v>
      </c>
    </row>
    <row r="395" spans="1:18" ht="12.75">
      <c r="A395" s="1">
        <f>DATE(1979,8,1)</f>
        <v>29068</v>
      </c>
      <c r="B395">
        <v>1979</v>
      </c>
      <c r="C395">
        <v>8</v>
      </c>
      <c r="D395">
        <v>9.45</v>
      </c>
      <c r="F395" s="3">
        <f>DATE(1979,8,1)</f>
        <v>29068</v>
      </c>
      <c r="G395">
        <v>73.8</v>
      </c>
      <c r="H395">
        <v>73.7</v>
      </c>
      <c r="I395" s="2">
        <f t="shared" si="18"/>
        <v>1.0095890410958905</v>
      </c>
      <c r="J395" s="2">
        <f t="shared" si="19"/>
        <v>-4.10679915679355</v>
      </c>
      <c r="N395" s="2">
        <v>-0.02299362949538147</v>
      </c>
      <c r="P395" s="2">
        <f t="shared" si="20"/>
        <v>0.29865515646722063</v>
      </c>
      <c r="R395">
        <v>0.009388058473336265</v>
      </c>
    </row>
    <row r="396" spans="1:18" ht="12.75">
      <c r="A396" s="1">
        <f>DATE(1979,9,1)</f>
        <v>29099</v>
      </c>
      <c r="B396">
        <v>1979</v>
      </c>
      <c r="C396">
        <v>9</v>
      </c>
      <c r="D396">
        <v>10.18</v>
      </c>
      <c r="F396" s="3">
        <f>DATE(1979,9,1)</f>
        <v>29099</v>
      </c>
      <c r="G396">
        <v>74.6</v>
      </c>
      <c r="H396">
        <v>74.4</v>
      </c>
      <c r="I396" s="2">
        <f t="shared" si="18"/>
        <v>1.0094979647218454</v>
      </c>
      <c r="J396" s="2">
        <f t="shared" si="19"/>
        <v>-1.7421549418525473</v>
      </c>
      <c r="N396" s="2">
        <v>-0.01496986438035674</v>
      </c>
      <c r="P396" s="2">
        <f t="shared" si="20"/>
        <v>2.364644214941003</v>
      </c>
      <c r="R396">
        <v>-0.043236529130883945</v>
      </c>
    </row>
    <row r="397" spans="1:18" ht="12.75">
      <c r="A397" s="1">
        <f>DATE(1979,10,1)</f>
        <v>29129</v>
      </c>
      <c r="B397">
        <v>1979</v>
      </c>
      <c r="C397">
        <v>10</v>
      </c>
      <c r="D397">
        <v>11.47</v>
      </c>
      <c r="F397" s="3">
        <f>DATE(1979,10,1)</f>
        <v>29129</v>
      </c>
      <c r="G397">
        <v>75.2</v>
      </c>
      <c r="H397">
        <v>75.2</v>
      </c>
      <c r="I397" s="2">
        <f t="shared" si="18"/>
        <v>1.010752688172043</v>
      </c>
      <c r="J397" s="2">
        <f t="shared" si="19"/>
        <v>-0.48406474315780823</v>
      </c>
      <c r="N397" s="2">
        <v>-0.006450784870164179</v>
      </c>
      <c r="P397" s="2">
        <f t="shared" si="20"/>
        <v>1.258090198694739</v>
      </c>
      <c r="R397">
        <v>-0.00029905321485606916</v>
      </c>
    </row>
    <row r="398" spans="1:18" ht="12.75">
      <c r="A398" s="1">
        <f>DATE(1979,11,1)</f>
        <v>29160</v>
      </c>
      <c r="B398">
        <v>1979</v>
      </c>
      <c r="C398">
        <v>11</v>
      </c>
      <c r="D398">
        <v>11.87</v>
      </c>
      <c r="F398" s="3">
        <f>DATE(1979,11,1)</f>
        <v>29160</v>
      </c>
      <c r="G398">
        <v>75.9</v>
      </c>
      <c r="H398">
        <v>76</v>
      </c>
      <c r="I398" s="2">
        <f t="shared" si="18"/>
        <v>1.0106382978723405</v>
      </c>
      <c r="J398" s="2">
        <f t="shared" si="19"/>
        <v>-1.604604087358974</v>
      </c>
      <c r="N398" s="2">
        <v>-0.011517724069681044</v>
      </c>
      <c r="P398" s="2">
        <f t="shared" si="20"/>
        <v>-1.1205393442011657</v>
      </c>
      <c r="R398">
        <v>0.013108184567965432</v>
      </c>
    </row>
    <row r="399" spans="1:18" ht="12.75">
      <c r="A399" s="1">
        <f>DATE(1979,12,1)</f>
        <v>29190</v>
      </c>
      <c r="B399">
        <v>1979</v>
      </c>
      <c r="C399">
        <v>12</v>
      </c>
      <c r="D399">
        <v>12.07</v>
      </c>
      <c r="F399" s="3">
        <f>DATE(1979,12,1)</f>
        <v>29190</v>
      </c>
      <c r="G399">
        <v>76.7</v>
      </c>
      <c r="H399">
        <v>76.9</v>
      </c>
      <c r="I399" s="2">
        <f t="shared" si="18"/>
        <v>1.0118421052631579</v>
      </c>
      <c r="J399" s="2">
        <f t="shared" si="19"/>
        <v>-1.2947275363297428</v>
      </c>
      <c r="N399" s="2">
        <v>-0.05112119619863168</v>
      </c>
      <c r="P399" s="2">
        <f t="shared" si="20"/>
        <v>0.3098765510292312</v>
      </c>
      <c r="R399">
        <v>0.036209833942655145</v>
      </c>
    </row>
    <row r="400" spans="1:18" ht="12.75">
      <c r="A400" s="1">
        <f>DATE(1980,1,1)</f>
        <v>29221</v>
      </c>
      <c r="B400">
        <v>1980</v>
      </c>
      <c r="C400">
        <v>1</v>
      </c>
      <c r="D400">
        <v>12.04</v>
      </c>
      <c r="F400" s="3">
        <f>DATE(1980,1,1)</f>
        <v>29221</v>
      </c>
      <c r="G400">
        <v>77.8</v>
      </c>
      <c r="H400">
        <v>78</v>
      </c>
      <c r="I400" s="2">
        <f t="shared" si="18"/>
        <v>1.014304291287386</v>
      </c>
      <c r="J400" s="2">
        <f t="shared" si="19"/>
        <v>-2.720768754998637</v>
      </c>
      <c r="N400" s="2">
        <v>-0.025535364314298665</v>
      </c>
      <c r="P400" s="2">
        <f t="shared" si="20"/>
        <v>-1.4260412186688942</v>
      </c>
      <c r="R400">
        <v>-0.06905021325882191</v>
      </c>
    </row>
    <row r="401" spans="1:18" ht="12.75">
      <c r="A401" s="1">
        <f>DATE(1980,2,1)</f>
        <v>29252</v>
      </c>
      <c r="B401">
        <v>1980</v>
      </c>
      <c r="C401">
        <v>2</v>
      </c>
      <c r="D401">
        <v>12.82</v>
      </c>
      <c r="F401" s="3">
        <f>DATE(1980,2,1)</f>
        <v>29252</v>
      </c>
      <c r="G401">
        <v>78.9</v>
      </c>
      <c r="H401">
        <v>79</v>
      </c>
      <c r="I401" s="2">
        <f t="shared" si="18"/>
        <v>1.0128205128205128</v>
      </c>
      <c r="J401" s="2">
        <f t="shared" si="19"/>
        <v>-4.859168932127522</v>
      </c>
      <c r="N401" s="2">
        <v>-0.02920192498453752</v>
      </c>
      <c r="P401" s="2">
        <f t="shared" si="20"/>
        <v>-2.138400177128885</v>
      </c>
      <c r="R401">
        <v>0.029412695601241406</v>
      </c>
    </row>
    <row r="402" spans="1:18" ht="12.75">
      <c r="A402" s="1">
        <f>DATE(1980,3,1)</f>
        <v>29281</v>
      </c>
      <c r="B402">
        <v>1980</v>
      </c>
      <c r="C402">
        <v>3</v>
      </c>
      <c r="D402">
        <v>15.53</v>
      </c>
      <c r="F402" s="3">
        <f>DATE(1980,3,1)</f>
        <v>29281</v>
      </c>
      <c r="G402">
        <v>80.1</v>
      </c>
      <c r="H402">
        <v>80.1</v>
      </c>
      <c r="I402" s="2">
        <f t="shared" si="18"/>
        <v>1.0139240506329112</v>
      </c>
      <c r="J402" s="2">
        <f t="shared" si="19"/>
        <v>-0.8472166023055228</v>
      </c>
      <c r="N402" s="2">
        <v>-0.00692123375161777</v>
      </c>
      <c r="P402" s="2">
        <f t="shared" si="20"/>
        <v>4.011952329822</v>
      </c>
      <c r="R402">
        <v>-0.02509930375153189</v>
      </c>
    </row>
    <row r="403" spans="1:18" ht="12.75">
      <c r="A403" s="1">
        <f>DATE(1980,4,1)</f>
        <v>29312</v>
      </c>
      <c r="B403">
        <v>1980</v>
      </c>
      <c r="C403">
        <v>4</v>
      </c>
      <c r="D403">
        <v>14</v>
      </c>
      <c r="F403" s="3">
        <f>DATE(1980,4,1)</f>
        <v>29312</v>
      </c>
      <c r="G403">
        <v>81</v>
      </c>
      <c r="H403">
        <v>80.9</v>
      </c>
      <c r="I403" s="2">
        <f t="shared" si="18"/>
        <v>1.0099875156054934</v>
      </c>
      <c r="J403" s="2">
        <f t="shared" si="19"/>
        <v>-3.430550917901498</v>
      </c>
      <c r="N403" s="2">
        <v>0.002359251068245745</v>
      </c>
      <c r="P403" s="2">
        <f t="shared" si="20"/>
        <v>-2.5833343155959754</v>
      </c>
      <c r="R403">
        <v>0.012099202035851127</v>
      </c>
    </row>
    <row r="404" spans="1:18" ht="12.75">
      <c r="A404" s="1">
        <f>DATE(1980,5,1)</f>
        <v>29342</v>
      </c>
      <c r="B404">
        <v>1980</v>
      </c>
      <c r="C404">
        <v>5</v>
      </c>
      <c r="D404">
        <v>9.15</v>
      </c>
      <c r="F404" s="3">
        <f>DATE(1980,5,1)</f>
        <v>29342</v>
      </c>
      <c r="G404">
        <v>81.8</v>
      </c>
      <c r="H404">
        <v>81.7</v>
      </c>
      <c r="I404" s="2">
        <f t="shared" si="18"/>
        <v>1.0098887515451174</v>
      </c>
      <c r="J404" s="2">
        <f t="shared" si="19"/>
        <v>-3.120547964370979</v>
      </c>
      <c r="N404" s="2">
        <v>-0.04827355561824126</v>
      </c>
      <c r="P404" s="2">
        <f t="shared" si="20"/>
        <v>0.3100029535305193</v>
      </c>
      <c r="R404">
        <v>0.06140793759565951</v>
      </c>
    </row>
    <row r="405" spans="1:18" ht="12.75">
      <c r="A405" s="1">
        <f>DATE(1980,6,1)</f>
        <v>29373</v>
      </c>
      <c r="B405">
        <v>1980</v>
      </c>
      <c r="C405">
        <v>6</v>
      </c>
      <c r="D405">
        <v>7</v>
      </c>
      <c r="F405" s="3">
        <f>DATE(1980,6,1)</f>
        <v>29373</v>
      </c>
      <c r="G405">
        <v>82.7</v>
      </c>
      <c r="H405">
        <v>82.5</v>
      </c>
      <c r="I405" s="2">
        <f t="shared" si="18"/>
        <v>1.0097919216646267</v>
      </c>
      <c r="J405" s="2">
        <f t="shared" si="19"/>
        <v>-4.917332174485612</v>
      </c>
      <c r="N405" s="2">
        <v>-0.07705598575184464</v>
      </c>
      <c r="P405" s="2">
        <f t="shared" si="20"/>
        <v>-1.796784210114633</v>
      </c>
      <c r="R405">
        <v>-0.023460670059797843</v>
      </c>
    </row>
    <row r="406" spans="1:18" ht="12.75">
      <c r="A406" s="1">
        <f>DATE(1980,7,1)</f>
        <v>29403</v>
      </c>
      <c r="B406">
        <v>1980</v>
      </c>
      <c r="C406">
        <v>7</v>
      </c>
      <c r="D406">
        <v>8.13</v>
      </c>
      <c r="F406" s="3">
        <f>DATE(1980,7,1)</f>
        <v>29403</v>
      </c>
      <c r="G406">
        <v>82.7</v>
      </c>
      <c r="H406">
        <v>82.6</v>
      </c>
      <c r="I406" s="2">
        <f t="shared" si="18"/>
        <v>1.0012121212121212</v>
      </c>
      <c r="J406" s="2">
        <f t="shared" si="19"/>
        <v>-3.8025635429186133</v>
      </c>
      <c r="N406" s="2">
        <v>-0.05902175771584435</v>
      </c>
      <c r="P406" s="2">
        <f t="shared" si="20"/>
        <v>1.1147686315669985</v>
      </c>
      <c r="R406">
        <v>-0.049018873185013453</v>
      </c>
    </row>
    <row r="407" spans="1:18" ht="12.75">
      <c r="A407" s="1">
        <f>DATE(1980,8,1)</f>
        <v>29434</v>
      </c>
      <c r="B407">
        <v>1980</v>
      </c>
      <c r="C407">
        <v>8</v>
      </c>
      <c r="D407">
        <v>9.26</v>
      </c>
      <c r="F407" s="3">
        <f>DATE(1980,8,1)</f>
        <v>29434</v>
      </c>
      <c r="G407">
        <v>83.3</v>
      </c>
      <c r="H407">
        <v>83.2</v>
      </c>
      <c r="I407" s="2">
        <f t="shared" si="18"/>
        <v>1.0072639225181599</v>
      </c>
      <c r="J407" s="2">
        <f t="shared" si="19"/>
        <v>7.683214385951942</v>
      </c>
      <c r="N407" s="2">
        <v>-0.08010913230869258</v>
      </c>
      <c r="P407" s="2">
        <f t="shared" si="20"/>
        <v>11.485777928870554</v>
      </c>
      <c r="R407">
        <v>0.05196951502700629</v>
      </c>
    </row>
    <row r="408" spans="1:18" ht="12.75">
      <c r="A408" s="1">
        <f>DATE(1980,9,1)</f>
        <v>29465</v>
      </c>
      <c r="B408">
        <v>1980</v>
      </c>
      <c r="C408">
        <v>9</v>
      </c>
      <c r="D408">
        <v>10.32</v>
      </c>
      <c r="F408" s="3">
        <f>DATE(1980,9,1)</f>
        <v>29465</v>
      </c>
      <c r="G408">
        <v>84</v>
      </c>
      <c r="H408">
        <v>83.9</v>
      </c>
      <c r="I408" s="2">
        <f t="shared" si="18"/>
        <v>1.0084134615384617</v>
      </c>
      <c r="J408" s="2">
        <f t="shared" si="19"/>
        <v>1.1427844458349323</v>
      </c>
      <c r="N408" s="2">
        <v>-0.08768721123005256</v>
      </c>
      <c r="P408" s="2">
        <f t="shared" si="20"/>
        <v>-6.54042994011701</v>
      </c>
      <c r="R408">
        <v>-0.020339166847253266</v>
      </c>
    </row>
    <row r="409" spans="1:18" ht="12.75">
      <c r="A409" s="1">
        <f>DATE(1980,10,1)</f>
        <v>29495</v>
      </c>
      <c r="B409">
        <v>1980</v>
      </c>
      <c r="C409">
        <v>10</v>
      </c>
      <c r="D409">
        <v>11.58</v>
      </c>
      <c r="F409" s="3">
        <f>DATE(1980,10,1)</f>
        <v>29495</v>
      </c>
      <c r="G409">
        <v>84.8</v>
      </c>
      <c r="H409">
        <v>84.7</v>
      </c>
      <c r="I409" s="2">
        <f t="shared" si="18"/>
        <v>1.0095351609058403</v>
      </c>
      <c r="J409" s="2">
        <f t="shared" si="19"/>
        <v>0.9073364338628931</v>
      </c>
      <c r="N409" s="2">
        <v>-0.10670929052531578</v>
      </c>
      <c r="P409" s="2">
        <f t="shared" si="20"/>
        <v>-0.23544801197203924</v>
      </c>
      <c r="R409">
        <v>0.012324705612069572</v>
      </c>
    </row>
    <row r="410" spans="1:18" ht="12.75">
      <c r="A410" s="1">
        <f>DATE(1980,11,1)</f>
        <v>29526</v>
      </c>
      <c r="B410">
        <v>1980</v>
      </c>
      <c r="C410">
        <v>11</v>
      </c>
      <c r="D410">
        <v>13.89</v>
      </c>
      <c r="F410" s="3">
        <f>DATE(1980,11,1)</f>
        <v>29526</v>
      </c>
      <c r="G410">
        <v>85.5</v>
      </c>
      <c r="H410">
        <v>85.6</v>
      </c>
      <c r="I410" s="2">
        <f t="shared" si="18"/>
        <v>1.010625737898465</v>
      </c>
      <c r="J410" s="2">
        <f t="shared" si="19"/>
        <v>1.6314680476604781</v>
      </c>
      <c r="N410" s="2">
        <v>-0.12594768869932596</v>
      </c>
      <c r="P410" s="2">
        <f t="shared" si="20"/>
        <v>0.7241316137975851</v>
      </c>
      <c r="R410">
        <v>0.0008769038917839047</v>
      </c>
    </row>
    <row r="411" spans="1:18" ht="12.75">
      <c r="A411" s="1">
        <f>DATE(1980,12,1)</f>
        <v>29556</v>
      </c>
      <c r="B411">
        <v>1980</v>
      </c>
      <c r="C411">
        <v>12</v>
      </c>
      <c r="D411">
        <v>15.66</v>
      </c>
      <c r="F411" s="3">
        <f>DATE(1980,12,1)</f>
        <v>29556</v>
      </c>
      <c r="G411">
        <v>86.3</v>
      </c>
      <c r="H411">
        <v>86.4</v>
      </c>
      <c r="I411" s="2">
        <f t="shared" si="18"/>
        <v>1.0093457943925235</v>
      </c>
      <c r="J411" s="2">
        <f t="shared" si="19"/>
        <v>1.882345787777906</v>
      </c>
      <c r="N411" s="2">
        <v>-0.08000706816063918</v>
      </c>
      <c r="P411" s="2">
        <f t="shared" si="20"/>
        <v>0.2508777401174278</v>
      </c>
      <c r="R411">
        <v>-0.06644470345417648</v>
      </c>
    </row>
    <row r="412" spans="1:18" ht="12.75">
      <c r="A412" s="1">
        <f>DATE(1981,1,1)</f>
        <v>29587</v>
      </c>
      <c r="B412">
        <v>1981</v>
      </c>
      <c r="C412">
        <v>1</v>
      </c>
      <c r="D412">
        <v>14.73</v>
      </c>
      <c r="F412" s="3">
        <f>DATE(1981,1,1)</f>
        <v>29587</v>
      </c>
      <c r="G412">
        <v>87</v>
      </c>
      <c r="H412">
        <v>87.2</v>
      </c>
      <c r="I412" s="2">
        <f t="shared" si="18"/>
        <v>1.0092592592592593</v>
      </c>
      <c r="J412" s="2">
        <f t="shared" si="19"/>
        <v>2.611789122446262</v>
      </c>
      <c r="N412" s="2">
        <v>-0.08069821636714532</v>
      </c>
      <c r="P412" s="2">
        <f t="shared" si="20"/>
        <v>0.729443334668356</v>
      </c>
      <c r="R412">
        <v>0.04787687364560614</v>
      </c>
    </row>
    <row r="413" spans="1:18" ht="12.75">
      <c r="A413" s="1">
        <f>DATE(1981,2,1)</f>
        <v>29618</v>
      </c>
      <c r="B413">
        <v>1981</v>
      </c>
      <c r="C413">
        <v>2</v>
      </c>
      <c r="D413">
        <v>14.91</v>
      </c>
      <c r="F413" s="3">
        <f>DATE(1981,2,1)</f>
        <v>29618</v>
      </c>
      <c r="G413">
        <v>87.9</v>
      </c>
      <c r="H413">
        <v>88</v>
      </c>
      <c r="I413" s="2">
        <f t="shared" si="18"/>
        <v>1.0091743119266054</v>
      </c>
      <c r="J413" s="2">
        <f t="shared" si="19"/>
        <v>2.878569105646145</v>
      </c>
      <c r="N413" s="2">
        <v>-0.06435911657939468</v>
      </c>
      <c r="P413" s="2">
        <f t="shared" si="20"/>
        <v>0.26677998319988294</v>
      </c>
      <c r="R413">
        <v>-0.01788410050421595</v>
      </c>
    </row>
    <row r="414" spans="1:18" ht="12.75">
      <c r="A414" s="1">
        <f>DATE(1981,3,1)</f>
        <v>29646</v>
      </c>
      <c r="B414">
        <v>1981</v>
      </c>
      <c r="C414">
        <v>3</v>
      </c>
      <c r="D414">
        <v>13.48</v>
      </c>
      <c r="F414" s="3">
        <f>DATE(1981,3,1)</f>
        <v>29646</v>
      </c>
      <c r="G414">
        <v>88.5</v>
      </c>
      <c r="H414">
        <v>88.6</v>
      </c>
      <c r="I414" s="2">
        <f t="shared" si="18"/>
        <v>1.0068181818181818</v>
      </c>
      <c r="J414" s="2">
        <f t="shared" si="19"/>
        <v>1.7009665742955482</v>
      </c>
      <c r="N414" s="2">
        <v>-0.07093384279162837</v>
      </c>
      <c r="P414" s="2">
        <f t="shared" si="20"/>
        <v>-1.1776025313505967</v>
      </c>
      <c r="R414">
        <v>0.023233224496602655</v>
      </c>
    </row>
    <row r="415" spans="1:18" ht="12.75">
      <c r="A415" s="1">
        <f>DATE(1981,4,1)</f>
        <v>29677</v>
      </c>
      <c r="B415">
        <v>1981</v>
      </c>
      <c r="C415">
        <v>4</v>
      </c>
      <c r="D415">
        <v>13.63</v>
      </c>
      <c r="F415" s="3">
        <f>DATE(1981,4,1)</f>
        <v>29677</v>
      </c>
      <c r="G415">
        <v>89.1</v>
      </c>
      <c r="H415">
        <v>89.1</v>
      </c>
      <c r="I415" s="2">
        <f t="shared" si="18"/>
        <v>1.0056433408577878</v>
      </c>
      <c r="J415" s="2">
        <f t="shared" si="19"/>
        <v>4.7322442361829475</v>
      </c>
      <c r="N415" s="2">
        <v>-0.0895938882862731</v>
      </c>
      <c r="P415" s="2">
        <f t="shared" si="20"/>
        <v>3.0312776618873993</v>
      </c>
      <c r="R415">
        <v>0.015682449956807298</v>
      </c>
    </row>
    <row r="416" spans="1:18" ht="12.75">
      <c r="A416" s="1">
        <f>DATE(1981,5,1)</f>
        <v>29707</v>
      </c>
      <c r="B416">
        <v>1981</v>
      </c>
      <c r="C416">
        <v>5</v>
      </c>
      <c r="D416">
        <v>16.29</v>
      </c>
      <c r="F416" s="3">
        <f>DATE(1981,5,1)</f>
        <v>29707</v>
      </c>
      <c r="G416">
        <v>89.8</v>
      </c>
      <c r="H416">
        <v>89.7</v>
      </c>
      <c r="I416" s="2">
        <f t="shared" si="18"/>
        <v>1.006734006734007</v>
      </c>
      <c r="J416" s="2">
        <f t="shared" si="19"/>
        <v>8.696255870053493</v>
      </c>
      <c r="N416" s="2">
        <v>-0.10939808326289543</v>
      </c>
      <c r="P416" s="2">
        <f t="shared" si="20"/>
        <v>3.9640116338705456</v>
      </c>
      <c r="R416">
        <v>0.004900620951913834</v>
      </c>
    </row>
    <row r="417" spans="1:18" ht="12.75">
      <c r="A417" s="1">
        <f>DATE(1981,6,1)</f>
        <v>29738</v>
      </c>
      <c r="B417">
        <v>1981</v>
      </c>
      <c r="C417">
        <v>6</v>
      </c>
      <c r="D417">
        <v>14.56</v>
      </c>
      <c r="F417" s="3">
        <f>DATE(1981,6,1)</f>
        <v>29738</v>
      </c>
      <c r="G417">
        <v>90.6</v>
      </c>
      <c r="H417">
        <v>90.5</v>
      </c>
      <c r="I417" s="2">
        <f t="shared" si="18"/>
        <v>1.0089186176142697</v>
      </c>
      <c r="J417" s="2">
        <f t="shared" si="19"/>
        <v>5.695412220694007</v>
      </c>
      <c r="N417" s="2">
        <v>-0.11540943827309898</v>
      </c>
      <c r="P417" s="2">
        <f t="shared" si="20"/>
        <v>-3.000843649359486</v>
      </c>
      <c r="R417">
        <v>-0.016064860145772814</v>
      </c>
    </row>
    <row r="418" spans="1:18" ht="12.75">
      <c r="A418" s="1">
        <f>DATE(1981,7,1)</f>
        <v>29768</v>
      </c>
      <c r="B418">
        <v>1981</v>
      </c>
      <c r="C418">
        <v>7</v>
      </c>
      <c r="D418">
        <v>14.7</v>
      </c>
      <c r="F418" s="3">
        <f>DATE(1981,7,1)</f>
        <v>29768</v>
      </c>
      <c r="G418">
        <v>91.6</v>
      </c>
      <c r="H418">
        <v>91.5</v>
      </c>
      <c r="I418" s="2">
        <f t="shared" si="18"/>
        <v>1.011049723756906</v>
      </c>
      <c r="J418" s="2">
        <f t="shared" si="19"/>
        <v>3.107387732158573</v>
      </c>
      <c r="N418" s="2">
        <v>-0.10839703354552023</v>
      </c>
      <c r="P418" s="2">
        <f t="shared" si="20"/>
        <v>-2.588024488535434</v>
      </c>
      <c r="R418">
        <v>-0.01781254883247299</v>
      </c>
    </row>
    <row r="419" spans="1:18" ht="12.75">
      <c r="A419" s="1">
        <f>DATE(1981,8,1)</f>
        <v>29799</v>
      </c>
      <c r="B419">
        <v>1981</v>
      </c>
      <c r="C419">
        <v>8</v>
      </c>
      <c r="D419">
        <v>15.61</v>
      </c>
      <c r="F419" s="3">
        <f>DATE(1981,8,1)</f>
        <v>29799</v>
      </c>
      <c r="G419">
        <v>92.3</v>
      </c>
      <c r="H419">
        <v>92.2</v>
      </c>
      <c r="I419" s="2">
        <f t="shared" si="18"/>
        <v>1.0076502732240438</v>
      </c>
      <c r="J419" s="2">
        <f t="shared" si="19"/>
        <v>1.3270089162883414</v>
      </c>
      <c r="N419" s="2">
        <v>-0.09558845294337147</v>
      </c>
      <c r="P419" s="2">
        <f t="shared" si="20"/>
        <v>-1.7803788158702316</v>
      </c>
      <c r="R419">
        <v>-0.006901331919573726</v>
      </c>
    </row>
    <row r="420" spans="1:18" ht="12.75">
      <c r="A420" s="1">
        <f>DATE(1981,9,1)</f>
        <v>29830</v>
      </c>
      <c r="B420">
        <v>1981</v>
      </c>
      <c r="C420">
        <v>9</v>
      </c>
      <c r="D420">
        <v>14.95</v>
      </c>
      <c r="F420" s="3">
        <f>DATE(1981,9,1)</f>
        <v>29830</v>
      </c>
      <c r="G420">
        <v>93.2</v>
      </c>
      <c r="H420">
        <v>93.1</v>
      </c>
      <c r="I420" s="2">
        <f t="shared" si="18"/>
        <v>1.0097613882863339</v>
      </c>
      <c r="J420" s="2">
        <f t="shared" si="19"/>
        <v>4.903759309293476</v>
      </c>
      <c r="N420" s="2">
        <v>-0.11864645988366293</v>
      </c>
      <c r="P420" s="2">
        <f t="shared" si="20"/>
        <v>3.5767503930051348</v>
      </c>
      <c r="R420">
        <v>0.040679324355751896</v>
      </c>
    </row>
    <row r="421" spans="1:18" ht="12.75">
      <c r="A421" s="1">
        <f>DATE(1981,10,1)</f>
        <v>29860</v>
      </c>
      <c r="B421">
        <v>1981</v>
      </c>
      <c r="C421">
        <v>10</v>
      </c>
      <c r="D421">
        <v>13.87</v>
      </c>
      <c r="F421" s="3">
        <f>DATE(1981,10,1)</f>
        <v>29860</v>
      </c>
      <c r="G421">
        <v>93.4</v>
      </c>
      <c r="H421">
        <v>93.4</v>
      </c>
      <c r="I421" s="2">
        <f t="shared" si="18"/>
        <v>1.0032223415682064</v>
      </c>
      <c r="J421" s="2">
        <f t="shared" si="19"/>
        <v>1.3407704026886513</v>
      </c>
      <c r="N421" s="2">
        <v>-0.08052655006971263</v>
      </c>
      <c r="P421" s="2">
        <f t="shared" si="20"/>
        <v>-3.562988906604825</v>
      </c>
      <c r="R421">
        <v>-0.06762025123294738</v>
      </c>
    </row>
    <row r="422" spans="1:18" ht="12.75">
      <c r="A422" s="1">
        <f>DATE(1981,11,1)</f>
        <v>29891</v>
      </c>
      <c r="B422">
        <v>1981</v>
      </c>
      <c r="C422">
        <v>11</v>
      </c>
      <c r="D422">
        <v>11.27</v>
      </c>
      <c r="F422" s="3">
        <f>DATE(1981,11,1)</f>
        <v>29891</v>
      </c>
      <c r="G422">
        <v>93.7</v>
      </c>
      <c r="H422">
        <v>93.8</v>
      </c>
      <c r="I422" s="2">
        <f t="shared" si="18"/>
        <v>1.0042826552462525</v>
      </c>
      <c r="J422" s="2">
        <f t="shared" si="19"/>
        <v>7.0561805723467375</v>
      </c>
      <c r="N422" s="2">
        <v>-0.044308779716420506</v>
      </c>
      <c r="P422" s="2">
        <f t="shared" si="20"/>
        <v>5.715410169658086</v>
      </c>
      <c r="R422">
        <v>0.007766917647976722</v>
      </c>
    </row>
    <row r="423" spans="1:18" ht="12.75">
      <c r="A423" s="1">
        <f>DATE(1981,12,1)</f>
        <v>29921</v>
      </c>
      <c r="B423">
        <v>1981</v>
      </c>
      <c r="C423">
        <v>12</v>
      </c>
      <c r="D423">
        <v>10.93</v>
      </c>
      <c r="F423" s="3">
        <f>DATE(1981,12,1)</f>
        <v>29921</v>
      </c>
      <c r="G423">
        <v>94</v>
      </c>
      <c r="H423">
        <v>94.1</v>
      </c>
      <c r="I423" s="2">
        <f t="shared" si="18"/>
        <v>1.0031982942430704</v>
      </c>
      <c r="J423" s="2">
        <f t="shared" si="19"/>
        <v>5.38467661956028</v>
      </c>
      <c r="N423" s="2">
        <v>-0.057065759002863085</v>
      </c>
      <c r="P423" s="2">
        <f t="shared" si="20"/>
        <v>-1.6715039527864572</v>
      </c>
      <c r="R423">
        <v>0.04823650022851648</v>
      </c>
    </row>
    <row r="424" spans="1:18" ht="12.75">
      <c r="A424" s="1">
        <f>DATE(1982,1,1)</f>
        <v>29952</v>
      </c>
      <c r="B424">
        <v>1982</v>
      </c>
      <c r="C424">
        <v>1</v>
      </c>
      <c r="D424">
        <v>12.41</v>
      </c>
      <c r="F424" s="3">
        <f>DATE(1982,1,1)</f>
        <v>29952</v>
      </c>
      <c r="G424">
        <v>94.3</v>
      </c>
      <c r="H424">
        <v>94.4</v>
      </c>
      <c r="I424" s="2">
        <f t="shared" si="18"/>
        <v>1.0031880977683316</v>
      </c>
      <c r="J424" s="2">
        <f t="shared" si="19"/>
        <v>8.184122610707423</v>
      </c>
      <c r="N424" s="2">
        <v>-0.06823982921239596</v>
      </c>
      <c r="P424" s="2">
        <f t="shared" si="20"/>
        <v>2.7994459911471425</v>
      </c>
      <c r="R424">
        <v>0.0009795819942239302</v>
      </c>
    </row>
    <row r="425" spans="1:18" ht="12.75">
      <c r="A425" s="1">
        <f>DATE(1982,2,1)</f>
        <v>29983</v>
      </c>
      <c r="B425">
        <v>1982</v>
      </c>
      <c r="C425">
        <v>2</v>
      </c>
      <c r="D425">
        <v>13.78</v>
      </c>
      <c r="F425" s="3">
        <f>DATE(1982,2,1)</f>
        <v>29983</v>
      </c>
      <c r="G425">
        <v>94.6</v>
      </c>
      <c r="H425">
        <v>94.7</v>
      </c>
      <c r="I425" s="2">
        <f t="shared" si="18"/>
        <v>1.0031779661016949</v>
      </c>
      <c r="J425" s="2">
        <f t="shared" si="19"/>
        <v>9.515976267593174</v>
      </c>
      <c r="N425" s="2">
        <v>-0.10143429113430581</v>
      </c>
      <c r="P425" s="2">
        <f t="shared" si="20"/>
        <v>1.3318536568857517</v>
      </c>
      <c r="R425">
        <v>0.025921494862363444</v>
      </c>
    </row>
    <row r="426" spans="1:18" ht="12.75">
      <c r="A426" s="1">
        <f>DATE(1982,3,1)</f>
        <v>30011</v>
      </c>
      <c r="B426">
        <v>1982</v>
      </c>
      <c r="C426">
        <v>3</v>
      </c>
      <c r="D426">
        <v>12.49</v>
      </c>
      <c r="F426" s="3">
        <f>DATE(1982,3,1)</f>
        <v>30011</v>
      </c>
      <c r="G426">
        <v>94.5</v>
      </c>
      <c r="H426">
        <v>94.7</v>
      </c>
      <c r="I426" s="2">
        <f t="shared" si="18"/>
        <v>1</v>
      </c>
      <c r="J426" s="2">
        <f t="shared" si="19"/>
        <v>8.287443376648508</v>
      </c>
      <c r="N426" s="2">
        <v>-0.11678182894479272</v>
      </c>
      <c r="P426" s="2">
        <f t="shared" si="20"/>
        <v>-1.2285328909446669</v>
      </c>
      <c r="R426">
        <v>-0.020009093659910444</v>
      </c>
    </row>
    <row r="427" spans="1:18" ht="12.75">
      <c r="A427" s="1">
        <f>DATE(1982,4,1)</f>
        <v>30042</v>
      </c>
      <c r="B427">
        <v>1982</v>
      </c>
      <c r="C427">
        <v>4</v>
      </c>
      <c r="D427">
        <v>12.82</v>
      </c>
      <c r="F427" s="3">
        <f>DATE(1982,4,1)</f>
        <v>30042</v>
      </c>
      <c r="G427">
        <v>94.9</v>
      </c>
      <c r="H427">
        <v>95</v>
      </c>
      <c r="I427" s="2">
        <f t="shared" si="18"/>
        <v>1.0031678986272439</v>
      </c>
      <c r="J427" s="2">
        <f t="shared" si="19"/>
        <v>12.82000000000001</v>
      </c>
      <c r="N427" s="2">
        <v>-0.12598324402422922</v>
      </c>
      <c r="P427" s="2">
        <f t="shared" si="20"/>
        <v>4.532556623351502</v>
      </c>
      <c r="R427">
        <v>-0.002505004248998125</v>
      </c>
    </row>
    <row r="428" spans="1:18" ht="12.75">
      <c r="A428" s="1">
        <f>DATE(1982,5,1)</f>
        <v>30072</v>
      </c>
      <c r="B428">
        <v>1982</v>
      </c>
      <c r="C428">
        <v>5</v>
      </c>
      <c r="D428">
        <v>12.15</v>
      </c>
      <c r="F428" s="3">
        <f>DATE(1982,5,1)</f>
        <v>30072</v>
      </c>
      <c r="G428">
        <v>95.8</v>
      </c>
      <c r="H428">
        <v>95.9</v>
      </c>
      <c r="I428" s="2">
        <f t="shared" si="18"/>
        <v>1.0094736842105263</v>
      </c>
      <c r="J428" s="2">
        <f t="shared" si="19"/>
        <v>7.973147728231411</v>
      </c>
      <c r="N428" s="2">
        <v>-0.09115734389155344</v>
      </c>
      <c r="P428" s="2">
        <f t="shared" si="20"/>
        <v>-4.846852271768598</v>
      </c>
      <c r="R428">
        <v>-0.05074104449074208</v>
      </c>
    </row>
    <row r="429" spans="1:18" ht="12.75">
      <c r="A429" s="1">
        <f>DATE(1982,6,1)</f>
        <v>30103</v>
      </c>
      <c r="B429">
        <v>1982</v>
      </c>
      <c r="C429">
        <v>6</v>
      </c>
      <c r="D429">
        <v>12.11</v>
      </c>
      <c r="F429" s="3">
        <f>DATE(1982,6,1)</f>
        <v>30103</v>
      </c>
      <c r="G429">
        <v>97</v>
      </c>
      <c r="H429">
        <v>97</v>
      </c>
      <c r="I429" s="2">
        <f t="shared" si="18"/>
        <v>1.0114702815432741</v>
      </c>
      <c r="J429" s="2">
        <f t="shared" si="19"/>
        <v>0.11619372378084414</v>
      </c>
      <c r="N429" s="2">
        <v>-0.05509604424938347</v>
      </c>
      <c r="P429" s="2">
        <f t="shared" si="20"/>
        <v>-7.856954004450567</v>
      </c>
      <c r="R429">
        <v>-0.008978656575340303</v>
      </c>
    </row>
    <row r="430" spans="1:18" ht="12.75">
      <c r="A430" s="1">
        <f>DATE(1982,7,1)</f>
        <v>30133</v>
      </c>
      <c r="B430">
        <v>1982</v>
      </c>
      <c r="C430">
        <v>7</v>
      </c>
      <c r="D430">
        <v>11.92</v>
      </c>
      <c r="F430" s="3">
        <f>DATE(1982,7,1)</f>
        <v>30133</v>
      </c>
      <c r="G430">
        <v>97.5</v>
      </c>
      <c r="H430">
        <v>97.5</v>
      </c>
      <c r="I430" s="2">
        <f t="shared" si="18"/>
        <v>1.0051546391752577</v>
      </c>
      <c r="J430" s="2">
        <f t="shared" si="19"/>
        <v>-2.39542464189898</v>
      </c>
      <c r="N430" s="2">
        <v>-0.08211783122050335</v>
      </c>
      <c r="P430" s="2">
        <f t="shared" si="20"/>
        <v>-2.511618365679824</v>
      </c>
      <c r="R430">
        <v>0.06354369826128263</v>
      </c>
    </row>
    <row r="431" spans="1:18" ht="12.75">
      <c r="A431" s="1">
        <f>DATE(1982,8,1)</f>
        <v>30164</v>
      </c>
      <c r="B431">
        <v>1982</v>
      </c>
      <c r="C431">
        <v>8</v>
      </c>
      <c r="D431">
        <v>9.01</v>
      </c>
      <c r="F431" s="3">
        <f>DATE(1982,8,1)</f>
        <v>30164</v>
      </c>
      <c r="G431">
        <v>97.7</v>
      </c>
      <c r="H431">
        <v>97.7</v>
      </c>
      <c r="I431" s="2">
        <f t="shared" si="18"/>
        <v>1.0020512820512821</v>
      </c>
      <c r="J431" s="2">
        <f t="shared" si="19"/>
        <v>2.4877036646893336</v>
      </c>
      <c r="N431" s="2">
        <v>-0.07852580257182408</v>
      </c>
      <c r="P431" s="2">
        <f t="shared" si="20"/>
        <v>4.883128306588313</v>
      </c>
      <c r="R431">
        <v>-0.027134284102610203</v>
      </c>
    </row>
    <row r="432" spans="1:18" ht="12.75">
      <c r="A432" s="1">
        <f>DATE(1982,9,1)</f>
        <v>30195</v>
      </c>
      <c r="B432">
        <v>1982</v>
      </c>
      <c r="C432">
        <v>9</v>
      </c>
      <c r="D432">
        <v>8.2</v>
      </c>
      <c r="F432" s="3">
        <f>DATE(1982,9,1)</f>
        <v>30195</v>
      </c>
      <c r="G432">
        <v>97.9</v>
      </c>
      <c r="H432">
        <v>97.7</v>
      </c>
      <c r="I432" s="2">
        <f t="shared" si="18"/>
        <v>1</v>
      </c>
      <c r="J432" s="2">
        <f t="shared" si="19"/>
        <v>5.571789835391749</v>
      </c>
      <c r="N432" s="2">
        <v>-0.05702954675717924</v>
      </c>
      <c r="P432" s="2">
        <f t="shared" si="20"/>
        <v>3.084086170702416</v>
      </c>
      <c r="R432">
        <v>-0.015182177913499927</v>
      </c>
    </row>
    <row r="433" spans="1:18" ht="12.75">
      <c r="A433" s="1">
        <f>DATE(1982,10,1)</f>
        <v>30225</v>
      </c>
      <c r="B433">
        <v>1982</v>
      </c>
      <c r="C433">
        <v>10</v>
      </c>
      <c r="D433">
        <v>7.75</v>
      </c>
      <c r="F433" s="3">
        <f>DATE(1982,10,1)</f>
        <v>30225</v>
      </c>
      <c r="G433">
        <v>98.2</v>
      </c>
      <c r="H433">
        <v>98.1</v>
      </c>
      <c r="I433" s="2">
        <f t="shared" si="18"/>
        <v>1.0040941658137155</v>
      </c>
      <c r="J433" s="2">
        <f t="shared" si="19"/>
        <v>7.74999999999999</v>
      </c>
      <c r="N433" s="2">
        <v>-0.06302342883036081</v>
      </c>
      <c r="P433" s="2">
        <f t="shared" si="20"/>
        <v>2.178210164608241</v>
      </c>
      <c r="R433">
        <v>0.030109110598297153</v>
      </c>
    </row>
    <row r="434" spans="1:18" ht="12.75">
      <c r="A434" s="1">
        <f>DATE(1982,11,1)</f>
        <v>30256</v>
      </c>
      <c r="B434">
        <v>1982</v>
      </c>
      <c r="C434">
        <v>11</v>
      </c>
      <c r="D434">
        <v>8.04</v>
      </c>
      <c r="F434" s="3">
        <f>DATE(1982,11,1)</f>
        <v>30256</v>
      </c>
      <c r="G434">
        <v>98</v>
      </c>
      <c r="H434">
        <v>98</v>
      </c>
      <c r="I434" s="2">
        <f t="shared" si="18"/>
        <v>0.998980632008155</v>
      </c>
      <c r="J434" s="2">
        <f t="shared" si="19"/>
        <v>2.8705949514468365</v>
      </c>
      <c r="N434" s="2">
        <v>-0.05709523760757884</v>
      </c>
      <c r="P434" s="2">
        <f t="shared" si="20"/>
        <v>-4.879405048553154</v>
      </c>
      <c r="R434">
        <v>-0.017057195095643</v>
      </c>
    </row>
    <row r="435" spans="1:18" ht="12.75">
      <c r="A435" s="1">
        <f>DATE(1982,12,1)</f>
        <v>30286</v>
      </c>
      <c r="B435">
        <v>1982</v>
      </c>
      <c r="C435">
        <v>12</v>
      </c>
      <c r="D435">
        <v>8.02</v>
      </c>
      <c r="F435" s="3">
        <f>DATE(1982,12,1)</f>
        <v>30286</v>
      </c>
      <c r="G435">
        <v>97.6</v>
      </c>
      <c r="H435">
        <v>97.7</v>
      </c>
      <c r="I435" s="2">
        <f t="shared" si="18"/>
        <v>0.9969387755102042</v>
      </c>
      <c r="J435" s="2">
        <f t="shared" si="19"/>
        <v>9.35014246684014</v>
      </c>
      <c r="N435" s="2">
        <v>-0.07154282855471832</v>
      </c>
      <c r="P435" s="2">
        <f t="shared" si="20"/>
        <v>6.479547515393303</v>
      </c>
      <c r="R435">
        <v>0.02723600284823706</v>
      </c>
    </row>
    <row r="436" spans="1:18" ht="12.75">
      <c r="A436" s="1">
        <f>DATE(1983,1,1)</f>
        <v>30317</v>
      </c>
      <c r="B436">
        <v>1983</v>
      </c>
      <c r="C436">
        <v>1</v>
      </c>
      <c r="D436">
        <v>7.81</v>
      </c>
      <c r="F436" s="3">
        <f>DATE(1983,1,1)</f>
        <v>30317</v>
      </c>
      <c r="G436">
        <v>97.8</v>
      </c>
      <c r="H436">
        <v>97.9</v>
      </c>
      <c r="I436" s="2">
        <f t="shared" si="18"/>
        <v>1.0020470829068577</v>
      </c>
      <c r="J436" s="2">
        <f t="shared" si="19"/>
        <v>11.850309386129787</v>
      </c>
      <c r="N436" s="2">
        <v>-0.06772898042598273</v>
      </c>
      <c r="P436" s="2">
        <f t="shared" si="20"/>
        <v>2.500166919289647</v>
      </c>
      <c r="R436">
        <v>-0.01686732190794902</v>
      </c>
    </row>
    <row r="437" spans="1:18" ht="12.75">
      <c r="A437" s="1">
        <f>DATE(1983,2,1)</f>
        <v>30348</v>
      </c>
      <c r="B437">
        <v>1983</v>
      </c>
      <c r="C437">
        <v>2</v>
      </c>
      <c r="D437">
        <v>8.13</v>
      </c>
      <c r="F437" s="3">
        <f>DATE(1983,2,1)</f>
        <v>30348</v>
      </c>
      <c r="G437">
        <v>97.9</v>
      </c>
      <c r="H437">
        <v>98</v>
      </c>
      <c r="I437" s="2">
        <f t="shared" si="18"/>
        <v>1.0010214504596526</v>
      </c>
      <c r="J437" s="2">
        <f t="shared" si="19"/>
        <v>5.508795710532599</v>
      </c>
      <c r="N437" s="2">
        <v>-0.0597609637959975</v>
      </c>
      <c r="P437" s="2">
        <f t="shared" si="20"/>
        <v>-6.341513675597188</v>
      </c>
      <c r="R437">
        <v>-0.010003530815214145</v>
      </c>
    </row>
    <row r="438" spans="1:18" ht="12.75">
      <c r="A438" s="1">
        <f>DATE(1983,3,1)</f>
        <v>30376</v>
      </c>
      <c r="B438">
        <v>1983</v>
      </c>
      <c r="C438">
        <v>3</v>
      </c>
      <c r="D438">
        <v>8.3</v>
      </c>
      <c r="F438" s="3">
        <f>DATE(1983,3,1)</f>
        <v>30376</v>
      </c>
      <c r="G438">
        <v>97.9</v>
      </c>
      <c r="H438">
        <v>98.1</v>
      </c>
      <c r="I438" s="2">
        <f t="shared" si="18"/>
        <v>1.0010204081632652</v>
      </c>
      <c r="J438" s="2">
        <f t="shared" si="19"/>
        <v>6.9812948182872425</v>
      </c>
      <c r="N438" s="2">
        <v>-0.02905891978393198</v>
      </c>
      <c r="P438" s="2">
        <f t="shared" si="20"/>
        <v>1.4724991077546434</v>
      </c>
      <c r="R438">
        <v>-0.02225937114635261</v>
      </c>
    </row>
    <row r="439" spans="1:18" ht="12.75">
      <c r="A439" s="1">
        <f>DATE(1983,4,1)</f>
        <v>30407</v>
      </c>
      <c r="B439">
        <v>1983</v>
      </c>
      <c r="C439">
        <v>4</v>
      </c>
      <c r="D439">
        <v>8.25</v>
      </c>
      <c r="F439" s="3">
        <f>DATE(1983,4,1)</f>
        <v>30407</v>
      </c>
      <c r="G439">
        <v>98.6</v>
      </c>
      <c r="H439">
        <v>98.8</v>
      </c>
      <c r="I439" s="2">
        <f t="shared" si="18"/>
        <v>1.0071355759429155</v>
      </c>
      <c r="J439" s="2">
        <f t="shared" si="19"/>
        <v>6.933239739910579</v>
      </c>
      <c r="N439" s="2">
        <v>-0.03715919464822737</v>
      </c>
      <c r="P439" s="2">
        <f t="shared" si="20"/>
        <v>-0.04805507837666312</v>
      </c>
      <c r="R439">
        <v>0.04004892127976706</v>
      </c>
    </row>
    <row r="440" spans="1:18" ht="12.75">
      <c r="A440" s="1">
        <f>DATE(1983,5,1)</f>
        <v>30437</v>
      </c>
      <c r="B440">
        <v>1983</v>
      </c>
      <c r="C440">
        <v>5</v>
      </c>
      <c r="D440">
        <v>8.19</v>
      </c>
      <c r="F440" s="3">
        <f>DATE(1983,5,1)</f>
        <v>30437</v>
      </c>
      <c r="G440">
        <v>99.2</v>
      </c>
      <c r="H440">
        <v>99.2</v>
      </c>
      <c r="I440" s="2">
        <f t="shared" si="18"/>
        <v>1.0040485829959516</v>
      </c>
      <c r="J440" s="2">
        <f t="shared" si="19"/>
        <v>-0.6582344313564525</v>
      </c>
      <c r="N440" s="2">
        <v>-0.04153544769594855</v>
      </c>
      <c r="P440" s="2">
        <f t="shared" si="20"/>
        <v>-7.591474171267032</v>
      </c>
      <c r="R440">
        <v>-0.010742409327747374</v>
      </c>
    </row>
    <row r="441" spans="1:18" ht="12.75">
      <c r="A441" s="1">
        <f>DATE(1983,6,1)</f>
        <v>30468</v>
      </c>
      <c r="B441">
        <v>1983</v>
      </c>
      <c r="C441">
        <v>6</v>
      </c>
      <c r="D441">
        <v>8.82</v>
      </c>
      <c r="F441" s="3">
        <f>DATE(1983,6,1)</f>
        <v>30468</v>
      </c>
      <c r="G441">
        <v>99.5</v>
      </c>
      <c r="H441">
        <v>99.4</v>
      </c>
      <c r="I441" s="2">
        <f t="shared" si="18"/>
        <v>1.002016129032258</v>
      </c>
      <c r="J441" s="2">
        <f t="shared" si="19"/>
        <v>3.6697355670597176</v>
      </c>
      <c r="N441" s="2">
        <v>-0.03832581838410868</v>
      </c>
      <c r="P441" s="2">
        <f t="shared" si="20"/>
        <v>4.327969998416171</v>
      </c>
      <c r="R441">
        <v>-0.0045760781788201504</v>
      </c>
    </row>
    <row r="442" spans="1:18" ht="12.75">
      <c r="A442" s="1">
        <f>DATE(1983,7,1)</f>
        <v>30498</v>
      </c>
      <c r="B442">
        <v>1983</v>
      </c>
      <c r="C442">
        <v>7</v>
      </c>
      <c r="D442">
        <v>9.12</v>
      </c>
      <c r="F442" s="3">
        <f>DATE(1983,7,1)</f>
        <v>30498</v>
      </c>
      <c r="G442">
        <v>99.9</v>
      </c>
      <c r="H442">
        <v>99.8</v>
      </c>
      <c r="I442" s="2">
        <f t="shared" si="18"/>
        <v>1.004024144869215</v>
      </c>
      <c r="J442" s="2">
        <f t="shared" si="19"/>
        <v>6.514273712114971</v>
      </c>
      <c r="N442" s="2">
        <v>-0.05562787647512707</v>
      </c>
      <c r="P442" s="2">
        <f t="shared" si="20"/>
        <v>2.844538145055253</v>
      </c>
      <c r="R442">
        <v>0.025008140591239153</v>
      </c>
    </row>
    <row r="443" spans="1:18" ht="12.75">
      <c r="A443" s="1">
        <f>DATE(1983,8,1)</f>
        <v>30529</v>
      </c>
      <c r="B443">
        <v>1983</v>
      </c>
      <c r="C443">
        <v>8</v>
      </c>
      <c r="D443">
        <v>9.39</v>
      </c>
      <c r="F443" s="3">
        <f>DATE(1983,8,1)</f>
        <v>30529</v>
      </c>
      <c r="G443">
        <v>100.2</v>
      </c>
      <c r="H443">
        <v>100.1</v>
      </c>
      <c r="I443" s="2">
        <f t="shared" si="18"/>
        <v>1.003006012024048</v>
      </c>
      <c r="J443" s="2">
        <f t="shared" si="19"/>
        <v>4.243201202891855</v>
      </c>
      <c r="N443" s="2">
        <v>-0.04581620720813027</v>
      </c>
      <c r="P443" s="2">
        <f t="shared" si="20"/>
        <v>-2.2710725092231154</v>
      </c>
      <c r="R443">
        <v>-0.02985308983833957</v>
      </c>
    </row>
    <row r="444" spans="1:18" ht="12.75">
      <c r="A444" s="1">
        <f>DATE(1983,9,1)</f>
        <v>30560</v>
      </c>
      <c r="B444">
        <v>1983</v>
      </c>
      <c r="C444">
        <v>9</v>
      </c>
      <c r="D444">
        <v>9.05</v>
      </c>
      <c r="F444" s="3">
        <f>DATE(1983,9,1)</f>
        <v>30560</v>
      </c>
      <c r="G444">
        <v>100.7</v>
      </c>
      <c r="H444">
        <v>100.4</v>
      </c>
      <c r="I444" s="2">
        <f t="shared" si="18"/>
        <v>1.002997002997003</v>
      </c>
      <c r="J444" s="2">
        <f t="shared" si="19"/>
        <v>5.192126737285263</v>
      </c>
      <c r="N444" s="2">
        <v>-0.02777920910691483</v>
      </c>
      <c r="P444" s="2">
        <f t="shared" si="20"/>
        <v>0.9489255343934078</v>
      </c>
      <c r="R444">
        <v>-0.008459423360002978</v>
      </c>
    </row>
    <row r="445" spans="1:18" ht="12.75">
      <c r="A445" s="1">
        <f>DATE(1983,10,1)</f>
        <v>30590</v>
      </c>
      <c r="B445">
        <v>1983</v>
      </c>
      <c r="C445">
        <v>10</v>
      </c>
      <c r="D445">
        <v>8.71</v>
      </c>
      <c r="F445" s="3">
        <f>DATE(1983,10,1)</f>
        <v>30590</v>
      </c>
      <c r="G445">
        <v>101</v>
      </c>
      <c r="H445">
        <v>100.8</v>
      </c>
      <c r="I445" s="2">
        <f t="shared" si="18"/>
        <v>1.00398406374502</v>
      </c>
      <c r="J445" s="2">
        <f t="shared" si="19"/>
        <v>4.875458324792259</v>
      </c>
      <c r="N445" s="2">
        <v>-0.042796059414165664</v>
      </c>
      <c r="P445" s="2">
        <f t="shared" si="20"/>
        <v>-0.31666841249300415</v>
      </c>
      <c r="R445">
        <v>0.03405011991617837</v>
      </c>
    </row>
    <row r="446" spans="1:18" ht="12.75">
      <c r="A446" s="1">
        <f>DATE(1983,11,1)</f>
        <v>30621</v>
      </c>
      <c r="B446">
        <v>1983</v>
      </c>
      <c r="C446">
        <v>11</v>
      </c>
      <c r="D446">
        <v>8.71</v>
      </c>
      <c r="F446" s="3">
        <f>DATE(1983,11,1)</f>
        <v>30621</v>
      </c>
      <c r="G446">
        <v>101.2</v>
      </c>
      <c r="H446">
        <v>101.1</v>
      </c>
      <c r="I446" s="2">
        <f t="shared" si="18"/>
        <v>1.0029761904761905</v>
      </c>
      <c r="J446" s="2">
        <f t="shared" si="19"/>
        <v>3.644834915283557</v>
      </c>
      <c r="N446" s="2">
        <v>-0.058410636709862324</v>
      </c>
      <c r="P446" s="2">
        <f t="shared" si="20"/>
        <v>-1.230623409508702</v>
      </c>
      <c r="R446">
        <v>-0.0012195841797099194</v>
      </c>
    </row>
    <row r="447" spans="1:18" ht="12.75">
      <c r="A447" s="1">
        <f>DATE(1983,12,1)</f>
        <v>30651</v>
      </c>
      <c r="B447">
        <v>1983</v>
      </c>
      <c r="C447">
        <v>12</v>
      </c>
      <c r="D447">
        <v>8.96</v>
      </c>
      <c r="F447" s="3">
        <f>DATE(1983,12,1)</f>
        <v>30651</v>
      </c>
      <c r="G447">
        <v>101.3</v>
      </c>
      <c r="H447">
        <v>101.4</v>
      </c>
      <c r="I447" s="2">
        <f t="shared" si="18"/>
        <v>1.0029673590504453</v>
      </c>
      <c r="J447" s="2">
        <f t="shared" si="19"/>
        <v>5.142818035793506</v>
      </c>
      <c r="N447" s="2">
        <v>-0.05158271741620906</v>
      </c>
      <c r="P447" s="2">
        <f t="shared" si="20"/>
        <v>1.4979831205099492</v>
      </c>
      <c r="R447">
        <v>-0.020875209951219238</v>
      </c>
    </row>
    <row r="448" spans="1:18" ht="12.75">
      <c r="A448" s="1">
        <f>DATE(1984,1,1)</f>
        <v>30682</v>
      </c>
      <c r="B448">
        <v>1984</v>
      </c>
      <c r="C448">
        <v>1</v>
      </c>
      <c r="D448">
        <v>8.93</v>
      </c>
      <c r="F448" s="3">
        <f>DATE(1984,1,1)</f>
        <v>30682</v>
      </c>
      <c r="G448">
        <v>101.9</v>
      </c>
      <c r="H448">
        <v>102.1</v>
      </c>
      <c r="I448" s="2">
        <f t="shared" si="18"/>
        <v>1.0069033530571991</v>
      </c>
      <c r="J448" s="2">
        <f t="shared" si="19"/>
        <v>5.1249762662841425</v>
      </c>
      <c r="N448" s="2">
        <v>-0.06862473407400203</v>
      </c>
      <c r="P448" s="2">
        <f t="shared" si="20"/>
        <v>-0.01784176950936356</v>
      </c>
      <c r="R448">
        <v>0.02503255267180093</v>
      </c>
    </row>
    <row r="449" spans="1:18" ht="12.75">
      <c r="A449" s="1">
        <f>DATE(1984,2,1)</f>
        <v>30713</v>
      </c>
      <c r="B449">
        <v>1984</v>
      </c>
      <c r="C449">
        <v>2</v>
      </c>
      <c r="D449">
        <v>9.03</v>
      </c>
      <c r="F449" s="3">
        <f>DATE(1984,2,1)</f>
        <v>30713</v>
      </c>
      <c r="G449">
        <v>102.4</v>
      </c>
      <c r="H449">
        <v>102.6</v>
      </c>
      <c r="I449" s="2">
        <f t="shared" si="18"/>
        <v>1.0048971596474046</v>
      </c>
      <c r="J449" s="2">
        <f t="shared" si="19"/>
        <v>0.39048838372148786</v>
      </c>
      <c r="N449" s="2">
        <v>-0.07062950819753391</v>
      </c>
      <c r="P449" s="2">
        <f t="shared" si="20"/>
        <v>-4.734487882562655</v>
      </c>
      <c r="R449">
        <v>-0.01977956600589055</v>
      </c>
    </row>
    <row r="450" spans="1:18" ht="12.75">
      <c r="A450" s="1">
        <f>DATE(1984,3,1)</f>
        <v>30742</v>
      </c>
      <c r="B450">
        <v>1984</v>
      </c>
      <c r="C450">
        <v>3</v>
      </c>
      <c r="D450">
        <v>9.08</v>
      </c>
      <c r="F450" s="3">
        <f>DATE(1984,3,1)</f>
        <v>30742</v>
      </c>
      <c r="G450">
        <v>102.6</v>
      </c>
      <c r="H450">
        <v>102.9</v>
      </c>
      <c r="I450" s="2">
        <f t="shared" si="18"/>
        <v>1.0029239766081872</v>
      </c>
      <c r="J450" s="2">
        <f t="shared" si="19"/>
        <v>2.8692811512574634</v>
      </c>
      <c r="N450" s="2">
        <v>-0.06828596880465015</v>
      </c>
      <c r="P450" s="2">
        <f t="shared" si="20"/>
        <v>2.4787927675359755</v>
      </c>
      <c r="R450">
        <v>-0.00297324715986863</v>
      </c>
    </row>
    <row r="451" spans="1:18" ht="12.75">
      <c r="A451" s="1">
        <f>DATE(1984,4,1)</f>
        <v>30773</v>
      </c>
      <c r="B451">
        <v>1984</v>
      </c>
      <c r="C451">
        <v>4</v>
      </c>
      <c r="D451">
        <v>9.69</v>
      </c>
      <c r="F451" s="3">
        <f>DATE(1984,4,1)</f>
        <v>30773</v>
      </c>
      <c r="G451">
        <v>103.1</v>
      </c>
      <c r="H451">
        <v>103.3</v>
      </c>
      <c r="I451" s="2">
        <f t="shared" si="18"/>
        <v>1.0038872691933916</v>
      </c>
      <c r="J451" s="2">
        <f t="shared" si="19"/>
        <v>5.913389950322379</v>
      </c>
      <c r="N451" s="2">
        <v>-0.06481245914736335</v>
      </c>
      <c r="P451" s="2">
        <f t="shared" si="20"/>
        <v>3.044108799064915</v>
      </c>
      <c r="R451">
        <v>0.000978481820528828</v>
      </c>
    </row>
    <row r="452" spans="1:18" ht="12.75">
      <c r="A452" s="1">
        <f>DATE(1984,5,1)</f>
        <v>30803</v>
      </c>
      <c r="B452">
        <v>1984</v>
      </c>
      <c r="C452">
        <v>5</v>
      </c>
      <c r="D452">
        <v>9.9</v>
      </c>
      <c r="F452" s="3">
        <f>DATE(1984,5,1)</f>
        <v>30803</v>
      </c>
      <c r="G452">
        <v>103.4</v>
      </c>
      <c r="H452">
        <v>103.5</v>
      </c>
      <c r="I452" s="2">
        <f t="shared" si="18"/>
        <v>1.0019361084220717</v>
      </c>
      <c r="J452" s="2">
        <f t="shared" si="19"/>
        <v>4.900686738517002</v>
      </c>
      <c r="N452" s="2">
        <v>-0.0530905347230601</v>
      </c>
      <c r="P452" s="2">
        <f t="shared" si="20"/>
        <v>-1.012703211805377</v>
      </c>
      <c r="R452">
        <v>-0.008824282324457542</v>
      </c>
    </row>
    <row r="453" spans="1:18" ht="12.75">
      <c r="A453" s="1">
        <f>DATE(1984,6,1)</f>
        <v>30834</v>
      </c>
      <c r="B453">
        <v>1984</v>
      </c>
      <c r="C453">
        <v>6</v>
      </c>
      <c r="D453">
        <v>9.94</v>
      </c>
      <c r="F453" s="3">
        <f>DATE(1984,6,1)</f>
        <v>30834</v>
      </c>
      <c r="G453">
        <v>103.7</v>
      </c>
      <c r="H453">
        <v>103.7</v>
      </c>
      <c r="I453" s="2">
        <f t="shared" si="18"/>
        <v>1.0019323671497584</v>
      </c>
      <c r="J453" s="2">
        <f t="shared" si="19"/>
        <v>7.417587266178738</v>
      </c>
      <c r="N453" s="2">
        <v>-0.04139810067057373</v>
      </c>
      <c r="P453" s="2">
        <f t="shared" si="20"/>
        <v>2.516900527661736</v>
      </c>
      <c r="R453">
        <v>0.002494108410486516</v>
      </c>
    </row>
    <row r="454" spans="1:18" ht="12.75">
      <c r="A454" s="1">
        <f>DATE(1984,7,1)</f>
        <v>30864</v>
      </c>
      <c r="B454">
        <v>1984</v>
      </c>
      <c r="C454">
        <v>7</v>
      </c>
      <c r="D454">
        <v>10.13</v>
      </c>
      <c r="F454" s="3">
        <f>DATE(1984,7,1)</f>
        <v>30864</v>
      </c>
      <c r="G454">
        <v>104.1</v>
      </c>
      <c r="H454">
        <v>104.1</v>
      </c>
      <c r="I454" s="2">
        <f aca="true" t="shared" si="21" ref="I454:I517">H454/H453</f>
        <v>1.0038572806171648</v>
      </c>
      <c r="J454" s="2">
        <f t="shared" si="19"/>
        <v>7.608049651405624</v>
      </c>
      <c r="N454" s="2">
        <v>-0.04172462821353468</v>
      </c>
      <c r="P454" s="2">
        <f t="shared" si="20"/>
        <v>0.19046238522688608</v>
      </c>
      <c r="R454">
        <v>0.012892802560130028</v>
      </c>
    </row>
    <row r="455" spans="1:18" ht="12.75">
      <c r="A455" s="1">
        <f>DATE(1984,8,1)</f>
        <v>30895</v>
      </c>
      <c r="B455">
        <v>1984</v>
      </c>
      <c r="C455">
        <v>8</v>
      </c>
      <c r="D455">
        <v>10.49</v>
      </c>
      <c r="F455" s="3">
        <f>DATE(1984,8,1)</f>
        <v>30895</v>
      </c>
      <c r="G455">
        <v>104.5</v>
      </c>
      <c r="H455">
        <v>104.4</v>
      </c>
      <c r="I455" s="2">
        <f t="shared" si="21"/>
        <v>1.0028818443804035</v>
      </c>
      <c r="J455" s="2">
        <f aca="true" t="shared" si="22" ref="J455:J518">((1+D455/100)/(I454^12)-1)*100</f>
        <v>5.501660750148041</v>
      </c>
      <c r="N455" s="2">
        <v>-0.03937186090370901</v>
      </c>
      <c r="P455" s="2">
        <f t="shared" si="20"/>
        <v>-2.106388901257583</v>
      </c>
      <c r="R455">
        <v>-0.0054484704966021764</v>
      </c>
    </row>
    <row r="456" spans="1:18" ht="12.75">
      <c r="A456" s="1">
        <f>DATE(1984,9,1)</f>
        <v>30926</v>
      </c>
      <c r="B456">
        <v>1984</v>
      </c>
      <c r="C456">
        <v>9</v>
      </c>
      <c r="D456">
        <v>10.41</v>
      </c>
      <c r="F456" s="3">
        <f>DATE(1984,9,1)</f>
        <v>30926</v>
      </c>
      <c r="G456">
        <v>105</v>
      </c>
      <c r="H456">
        <v>104.7</v>
      </c>
      <c r="I456" s="2">
        <f t="shared" si="21"/>
        <v>1.0028735632183907</v>
      </c>
      <c r="J456" s="2">
        <f t="shared" si="22"/>
        <v>6.662357889055093</v>
      </c>
      <c r="N456" s="2">
        <v>-0.06435429148247923</v>
      </c>
      <c r="P456" s="2">
        <f aca="true" t="shared" si="23" ref="P456:P519">J456-J455</f>
        <v>1.160697138907052</v>
      </c>
      <c r="R456">
        <v>0.029500667895505574</v>
      </c>
    </row>
    <row r="457" spans="1:18" ht="12.75">
      <c r="A457" s="1">
        <f>DATE(1984,10,1)</f>
        <v>30956</v>
      </c>
      <c r="B457">
        <v>1984</v>
      </c>
      <c r="C457">
        <v>10</v>
      </c>
      <c r="D457">
        <v>9.97</v>
      </c>
      <c r="F457" s="3">
        <f>DATE(1984,10,1)</f>
        <v>30956</v>
      </c>
      <c r="G457">
        <v>105.3</v>
      </c>
      <c r="H457">
        <v>105.1</v>
      </c>
      <c r="I457" s="2">
        <f t="shared" si="21"/>
        <v>1.0038204393505252</v>
      </c>
      <c r="J457" s="2">
        <f t="shared" si="22"/>
        <v>6.247820238041024</v>
      </c>
      <c r="N457" s="2">
        <v>-0.0922746455871376</v>
      </c>
      <c r="P457" s="2">
        <f t="shared" si="23"/>
        <v>-0.4145376510140686</v>
      </c>
      <c r="R457">
        <v>0.0022027667497642165</v>
      </c>
    </row>
    <row r="458" spans="1:18" ht="12.75">
      <c r="A458" s="1">
        <f>DATE(1984,11,1)</f>
        <v>30987</v>
      </c>
      <c r="B458">
        <v>1984</v>
      </c>
      <c r="C458">
        <v>11</v>
      </c>
      <c r="D458">
        <v>8.79</v>
      </c>
      <c r="F458" s="3">
        <f>DATE(1984,11,1)</f>
        <v>30987</v>
      </c>
      <c r="G458">
        <v>105.3</v>
      </c>
      <c r="H458">
        <v>105.3</v>
      </c>
      <c r="I458" s="2">
        <f t="shared" si="21"/>
        <v>1.0019029495718363</v>
      </c>
      <c r="J458" s="2">
        <f t="shared" si="22"/>
        <v>3.924169976924685</v>
      </c>
      <c r="N458" s="2">
        <v>-0.09905446126047052</v>
      </c>
      <c r="P458" s="2">
        <f t="shared" si="23"/>
        <v>-2.323650261116339</v>
      </c>
      <c r="R458">
        <v>-0.022065998922631343</v>
      </c>
    </row>
    <row r="459" spans="1:18" ht="12.75">
      <c r="A459" s="1">
        <f>DATE(1984,12,1)</f>
        <v>31017</v>
      </c>
      <c r="B459">
        <v>1984</v>
      </c>
      <c r="C459">
        <v>12</v>
      </c>
      <c r="D459">
        <v>8.16</v>
      </c>
      <c r="F459" s="3">
        <f>DATE(1984,12,1)</f>
        <v>31017</v>
      </c>
      <c r="G459">
        <v>105.3</v>
      </c>
      <c r="H459">
        <v>105.5</v>
      </c>
      <c r="I459" s="2">
        <f t="shared" si="21"/>
        <v>1.0018993352326686</v>
      </c>
      <c r="J459" s="2">
        <f t="shared" si="22"/>
        <v>5.720404641354571</v>
      </c>
      <c r="N459" s="2">
        <v>-0.10134584574653317</v>
      </c>
      <c r="P459" s="2">
        <f t="shared" si="23"/>
        <v>1.7962346644298854</v>
      </c>
      <c r="R459">
        <v>-0.0039008679522835156</v>
      </c>
    </row>
    <row r="460" spans="1:18" ht="12.75">
      <c r="A460" s="1">
        <f>DATE(1985,1,1)</f>
        <v>31048</v>
      </c>
      <c r="B460">
        <v>1985</v>
      </c>
      <c r="C460">
        <v>1</v>
      </c>
      <c r="D460">
        <v>7.76</v>
      </c>
      <c r="F460" s="3">
        <f>DATE(1985,1,1)</f>
        <v>31048</v>
      </c>
      <c r="G460">
        <v>105.5</v>
      </c>
      <c r="H460">
        <v>105.7</v>
      </c>
      <c r="I460" s="2">
        <f t="shared" si="21"/>
        <v>1.0018957345971564</v>
      </c>
      <c r="J460" s="2">
        <f t="shared" si="22"/>
        <v>5.333986598894613</v>
      </c>
      <c r="N460" s="2">
        <v>-0.07399586017698419</v>
      </c>
      <c r="P460" s="2">
        <f t="shared" si="23"/>
        <v>-0.38641804245995726</v>
      </c>
      <c r="R460">
        <v>-0.03176925874567423</v>
      </c>
    </row>
    <row r="461" spans="1:18" ht="12.75">
      <c r="A461" s="1">
        <f>DATE(1985,2,1)</f>
        <v>31079</v>
      </c>
      <c r="B461">
        <v>1985</v>
      </c>
      <c r="C461">
        <v>2</v>
      </c>
      <c r="D461">
        <v>8.17</v>
      </c>
      <c r="F461" s="3">
        <f>DATE(1985,2,1)</f>
        <v>31079</v>
      </c>
      <c r="G461">
        <v>106</v>
      </c>
      <c r="H461">
        <v>106.3</v>
      </c>
      <c r="I461" s="2">
        <f t="shared" si="21"/>
        <v>1.0056764427625353</v>
      </c>
      <c r="J461" s="2">
        <f t="shared" si="22"/>
        <v>5.739316214838097</v>
      </c>
      <c r="N461" s="2">
        <v>-0.05682234128523508</v>
      </c>
      <c r="P461" s="2">
        <f t="shared" si="23"/>
        <v>0.4053296159434838</v>
      </c>
      <c r="R461">
        <v>0.010442865811363219</v>
      </c>
    </row>
    <row r="462" spans="1:18" ht="12.75">
      <c r="A462" s="1">
        <f>DATE(1985,3,1)</f>
        <v>31107</v>
      </c>
      <c r="B462">
        <v>1985</v>
      </c>
      <c r="C462">
        <v>3</v>
      </c>
      <c r="D462">
        <v>8.57</v>
      </c>
      <c r="F462" s="3">
        <f>DATE(1985,3,1)</f>
        <v>31107</v>
      </c>
      <c r="G462">
        <v>106.4</v>
      </c>
      <c r="H462">
        <v>106.8</v>
      </c>
      <c r="I462" s="2">
        <f t="shared" si="21"/>
        <v>1.0047036688617121</v>
      </c>
      <c r="J462" s="2">
        <f t="shared" si="22"/>
        <v>1.4402968031544283</v>
      </c>
      <c r="N462" s="2">
        <v>-0.04617519454834372</v>
      </c>
      <c r="P462" s="2">
        <f t="shared" si="23"/>
        <v>-4.299019411683669</v>
      </c>
      <c r="R462">
        <v>0.0035257095572120453</v>
      </c>
    </row>
    <row r="463" spans="1:18" ht="12.75">
      <c r="A463" s="1">
        <f>DATE(1985,4,1)</f>
        <v>31138</v>
      </c>
      <c r="B463">
        <v>1985</v>
      </c>
      <c r="C463">
        <v>4</v>
      </c>
      <c r="D463">
        <v>8</v>
      </c>
      <c r="F463" s="3">
        <f>DATE(1985,4,1)</f>
        <v>31138</v>
      </c>
      <c r="G463">
        <v>106.9</v>
      </c>
      <c r="H463">
        <v>107</v>
      </c>
      <c r="I463" s="2">
        <f t="shared" si="21"/>
        <v>1.00187265917603</v>
      </c>
      <c r="J463" s="2">
        <f t="shared" si="22"/>
        <v>2.0864019835363345</v>
      </c>
      <c r="N463" s="2">
        <v>-0.05196170650271012</v>
      </c>
      <c r="P463" s="2">
        <f t="shared" si="23"/>
        <v>0.6461051803819062</v>
      </c>
      <c r="R463">
        <v>0.01779207948172908</v>
      </c>
    </row>
    <row r="464" spans="1:18" ht="12.75">
      <c r="A464" s="1">
        <f>DATE(1985,5,1)</f>
        <v>31168</v>
      </c>
      <c r="B464">
        <v>1985</v>
      </c>
      <c r="C464">
        <v>5</v>
      </c>
      <c r="D464">
        <v>7.56</v>
      </c>
      <c r="F464" s="3">
        <f>DATE(1985,5,1)</f>
        <v>31168</v>
      </c>
      <c r="G464">
        <v>107.3</v>
      </c>
      <c r="H464">
        <v>107.2</v>
      </c>
      <c r="I464" s="2">
        <f t="shared" si="21"/>
        <v>1.0018691588785047</v>
      </c>
      <c r="J464" s="2">
        <f t="shared" si="22"/>
        <v>5.172087396906955</v>
      </c>
      <c r="N464" s="2">
        <v>-0.08079813497237089</v>
      </c>
      <c r="P464" s="2">
        <f t="shared" si="23"/>
        <v>3.08568541337062</v>
      </c>
      <c r="R464">
        <v>0.0270498775706417</v>
      </c>
    </row>
    <row r="465" spans="1:18" ht="12.75">
      <c r="A465" s="1">
        <f>DATE(1985,6,1)</f>
        <v>31199</v>
      </c>
      <c r="B465">
        <v>1985</v>
      </c>
      <c r="C465">
        <v>6</v>
      </c>
      <c r="D465">
        <v>7.01</v>
      </c>
      <c r="F465" s="3">
        <f>DATE(1985,6,1)</f>
        <v>31199</v>
      </c>
      <c r="G465">
        <v>107.6</v>
      </c>
      <c r="H465">
        <v>107.5</v>
      </c>
      <c r="I465" s="2">
        <f t="shared" si="21"/>
        <v>1.0027985074626866</v>
      </c>
      <c r="J465" s="2">
        <f t="shared" si="22"/>
        <v>4.638684707792717</v>
      </c>
      <c r="N465" s="2">
        <v>-0.08095148398819002</v>
      </c>
      <c r="P465" s="2">
        <f t="shared" si="23"/>
        <v>-0.5334026891142374</v>
      </c>
      <c r="R465">
        <v>-0.030192827723719128</v>
      </c>
    </row>
    <row r="466" spans="1:18" ht="12.75">
      <c r="A466" s="1">
        <f>DATE(1985,7,1)</f>
        <v>31229</v>
      </c>
      <c r="B466">
        <v>1985</v>
      </c>
      <c r="C466">
        <v>7</v>
      </c>
      <c r="D466">
        <v>7.05</v>
      </c>
      <c r="F466" s="3">
        <f>DATE(1985,7,1)</f>
        <v>31229</v>
      </c>
      <c r="G466">
        <v>107.8</v>
      </c>
      <c r="H466">
        <v>107.7</v>
      </c>
      <c r="I466" s="2">
        <f t="shared" si="21"/>
        <v>1.001860465116279</v>
      </c>
      <c r="J466" s="2">
        <f t="shared" si="22"/>
        <v>3.5195856217508537</v>
      </c>
      <c r="N466" s="2">
        <v>-0.07793583950387126</v>
      </c>
      <c r="P466" s="2">
        <f t="shared" si="23"/>
        <v>-1.1190990860418637</v>
      </c>
      <c r="R466">
        <v>-0.00482131310863565</v>
      </c>
    </row>
    <row r="467" spans="1:18" ht="12.75">
      <c r="A467" s="1">
        <f>DATE(1985,8,1)</f>
        <v>31260</v>
      </c>
      <c r="B467">
        <v>1985</v>
      </c>
      <c r="C467">
        <v>8</v>
      </c>
      <c r="D467">
        <v>7.18</v>
      </c>
      <c r="F467" s="3">
        <f>DATE(1985,8,1)</f>
        <v>31260</v>
      </c>
      <c r="G467">
        <v>108</v>
      </c>
      <c r="H467">
        <v>107.9</v>
      </c>
      <c r="I467" s="2">
        <f t="shared" si="21"/>
        <v>1.0018570102135562</v>
      </c>
      <c r="J467" s="2">
        <f t="shared" si="22"/>
        <v>4.815831554710415</v>
      </c>
      <c r="N467" s="2">
        <v>-0.09936172871441523</v>
      </c>
      <c r="P467" s="2">
        <f t="shared" si="23"/>
        <v>1.296245932959561</v>
      </c>
      <c r="R467">
        <v>0.026607089457074296</v>
      </c>
    </row>
    <row r="468" spans="1:18" ht="12.75">
      <c r="A468" s="1">
        <f>DATE(1985,9,1)</f>
        <v>31291</v>
      </c>
      <c r="B468">
        <v>1985</v>
      </c>
      <c r="C468">
        <v>9</v>
      </c>
      <c r="D468">
        <v>7.08</v>
      </c>
      <c r="F468" s="3">
        <f>DATE(1985,9,1)</f>
        <v>31291</v>
      </c>
      <c r="G468">
        <v>108.3</v>
      </c>
      <c r="H468">
        <v>108.1</v>
      </c>
      <c r="I468" s="2">
        <f t="shared" si="21"/>
        <v>1.0018535681186282</v>
      </c>
      <c r="J468" s="2">
        <f t="shared" si="22"/>
        <v>4.722370869788728</v>
      </c>
      <c r="N468" s="2">
        <v>-0.10573577965796535</v>
      </c>
      <c r="P468" s="2">
        <f t="shared" si="23"/>
        <v>-0.0934606849216868</v>
      </c>
      <c r="R468">
        <v>-0.01605700773098377</v>
      </c>
    </row>
    <row r="469" spans="1:18" ht="12.75">
      <c r="A469" s="1">
        <f>DATE(1985,10,1)</f>
        <v>31321</v>
      </c>
      <c r="B469">
        <v>1985</v>
      </c>
      <c r="C469">
        <v>10</v>
      </c>
      <c r="D469">
        <v>7.17</v>
      </c>
      <c r="F469" s="3">
        <f>DATE(1985,10,1)</f>
        <v>31321</v>
      </c>
      <c r="G469">
        <v>108.7</v>
      </c>
      <c r="H469">
        <v>108.5</v>
      </c>
      <c r="I469" s="2">
        <f t="shared" si="21"/>
        <v>1.0037002775208141</v>
      </c>
      <c r="J469" s="2">
        <f t="shared" si="22"/>
        <v>4.814710578532022</v>
      </c>
      <c r="N469" s="2">
        <v>-0.05675474340196847</v>
      </c>
      <c r="P469" s="2">
        <f t="shared" si="23"/>
        <v>0.09233970874329422</v>
      </c>
      <c r="R469">
        <v>-0.05741111841472101</v>
      </c>
    </row>
    <row r="470" spans="1:18" ht="12.75">
      <c r="A470" s="1">
        <f>DATE(1985,11,1)</f>
        <v>31352</v>
      </c>
      <c r="B470">
        <v>1985</v>
      </c>
      <c r="C470">
        <v>11</v>
      </c>
      <c r="D470">
        <v>7.2</v>
      </c>
      <c r="F470" s="3">
        <f>DATE(1985,11,1)</f>
        <v>31352</v>
      </c>
      <c r="G470">
        <v>109</v>
      </c>
      <c r="H470">
        <v>109</v>
      </c>
      <c r="I470" s="2">
        <f t="shared" si="21"/>
        <v>1.0046082949308757</v>
      </c>
      <c r="J470" s="2">
        <f t="shared" si="22"/>
        <v>2.552500619336606</v>
      </c>
      <c r="N470" s="2">
        <v>-0.03860282258613684</v>
      </c>
      <c r="P470" s="2">
        <f t="shared" si="23"/>
        <v>-2.262209959195416</v>
      </c>
      <c r="R470">
        <v>0.030419766821907456</v>
      </c>
    </row>
    <row r="471" spans="1:18" ht="12.75">
      <c r="A471" s="1">
        <f>DATE(1985,12,1)</f>
        <v>31382</v>
      </c>
      <c r="B471">
        <v>1985</v>
      </c>
      <c r="C471">
        <v>12</v>
      </c>
      <c r="D471">
        <v>7.07</v>
      </c>
      <c r="F471" s="3">
        <f>DATE(1985,12,1)</f>
        <v>31382</v>
      </c>
      <c r="G471">
        <v>109.3</v>
      </c>
      <c r="H471">
        <v>109.5</v>
      </c>
      <c r="I471" s="2">
        <f t="shared" si="21"/>
        <v>1.0045871559633028</v>
      </c>
      <c r="J471" s="2">
        <f t="shared" si="22"/>
        <v>1.3226840077347646</v>
      </c>
      <c r="N471" s="2">
        <v>-0.03413613342344614</v>
      </c>
      <c r="P471" s="2">
        <f t="shared" si="23"/>
        <v>-1.2298166116018416</v>
      </c>
      <c r="R471">
        <v>0.012842883367339826</v>
      </c>
    </row>
    <row r="472" spans="1:18" ht="12.75">
      <c r="A472" s="1">
        <f>DATE(1986,1,1)</f>
        <v>31413</v>
      </c>
      <c r="B472">
        <v>1986</v>
      </c>
      <c r="C472">
        <v>1</v>
      </c>
      <c r="D472">
        <v>7.04</v>
      </c>
      <c r="F472" s="3">
        <f>DATE(1986,1,1)</f>
        <v>31413</v>
      </c>
      <c r="G472">
        <v>109.6</v>
      </c>
      <c r="H472">
        <v>109.9</v>
      </c>
      <c r="I472" s="2">
        <f t="shared" si="21"/>
        <v>1.0036529680365298</v>
      </c>
      <c r="J472" s="2">
        <f t="shared" si="22"/>
        <v>1.319875064158249</v>
      </c>
      <c r="N472" s="2">
        <v>-0.03288051489665844</v>
      </c>
      <c r="P472" s="2">
        <f t="shared" si="23"/>
        <v>-0.00280894357651551</v>
      </c>
      <c r="R472">
        <v>0.003991202902039782</v>
      </c>
    </row>
    <row r="473" spans="1:18" ht="12.75">
      <c r="A473" s="1">
        <f>DATE(1986,2,1)</f>
        <v>31444</v>
      </c>
      <c r="B473">
        <v>1986</v>
      </c>
      <c r="C473">
        <v>2</v>
      </c>
      <c r="D473">
        <v>7.03</v>
      </c>
      <c r="F473" s="3">
        <f>DATE(1986,2,1)</f>
        <v>31444</v>
      </c>
      <c r="G473">
        <v>109.3</v>
      </c>
      <c r="H473">
        <v>109.7</v>
      </c>
      <c r="I473" s="2">
        <f t="shared" si="21"/>
        <v>0.9981801637852593</v>
      </c>
      <c r="J473" s="2">
        <f t="shared" si="22"/>
        <v>2.447802314849201</v>
      </c>
      <c r="N473" s="2">
        <v>-0.05025592191502455</v>
      </c>
      <c r="P473" s="2">
        <f t="shared" si="23"/>
        <v>1.1279272506909521</v>
      </c>
      <c r="R473">
        <v>0.019508182112635407</v>
      </c>
    </row>
    <row r="474" spans="1:18" ht="12.75">
      <c r="A474" s="1">
        <f>DATE(1986,3,1)</f>
        <v>31472</v>
      </c>
      <c r="B474">
        <v>1986</v>
      </c>
      <c r="C474">
        <v>3</v>
      </c>
      <c r="D474">
        <v>6.59</v>
      </c>
      <c r="F474" s="3">
        <f>DATE(1986,3,1)</f>
        <v>31472</v>
      </c>
      <c r="G474">
        <v>108.8</v>
      </c>
      <c r="H474">
        <v>109.1</v>
      </c>
      <c r="I474" s="2">
        <f t="shared" si="21"/>
        <v>0.9945305378304466</v>
      </c>
      <c r="J474" s="2">
        <f t="shared" si="22"/>
        <v>8.94548595194471</v>
      </c>
      <c r="N474" s="2">
        <v>-0.051647332080596305</v>
      </c>
      <c r="P474" s="2">
        <f t="shared" si="23"/>
        <v>6.497683637095508</v>
      </c>
      <c r="R474">
        <v>-0.010224445380307215</v>
      </c>
    </row>
    <row r="475" spans="1:18" ht="12.75">
      <c r="A475" s="1">
        <f>DATE(1986,4,1)</f>
        <v>31503</v>
      </c>
      <c r="B475">
        <v>1986</v>
      </c>
      <c r="C475">
        <v>4</v>
      </c>
      <c r="D475">
        <v>6.06</v>
      </c>
      <c r="F475" s="3">
        <f>DATE(1986,4,1)</f>
        <v>31503</v>
      </c>
      <c r="G475">
        <v>108.6</v>
      </c>
      <c r="H475">
        <v>108.7</v>
      </c>
      <c r="I475" s="2">
        <f t="shared" si="21"/>
        <v>0.9963336388634281</v>
      </c>
      <c r="J475" s="2">
        <f t="shared" si="22"/>
        <v>13.275019762150308</v>
      </c>
      <c r="N475" s="2">
        <v>-0.05533065855833516</v>
      </c>
      <c r="P475" s="2">
        <f t="shared" si="23"/>
        <v>4.329533810205598</v>
      </c>
      <c r="R475">
        <v>0.005734371877368479</v>
      </c>
    </row>
    <row r="476" spans="1:18" ht="12.75">
      <c r="A476" s="1">
        <f>DATE(1986,5,1)</f>
        <v>31533</v>
      </c>
      <c r="B476">
        <v>1986</v>
      </c>
      <c r="C476">
        <v>5</v>
      </c>
      <c r="D476">
        <v>6.12</v>
      </c>
      <c r="F476" s="3">
        <f>DATE(1986,5,1)</f>
        <v>31533</v>
      </c>
      <c r="G476">
        <v>108.9</v>
      </c>
      <c r="H476">
        <v>109</v>
      </c>
      <c r="I476" s="2">
        <f t="shared" si="21"/>
        <v>1.0027598896044159</v>
      </c>
      <c r="J476" s="2">
        <f t="shared" si="22"/>
        <v>10.902087097259816</v>
      </c>
      <c r="N476" s="2">
        <v>-0.03645801741693268</v>
      </c>
      <c r="P476" s="2">
        <f t="shared" si="23"/>
        <v>-2.3729326648904916</v>
      </c>
      <c r="R476">
        <v>-0.025309971374431407</v>
      </c>
    </row>
    <row r="477" spans="1:18" ht="12.75">
      <c r="A477" s="1">
        <f>DATE(1986,6,1)</f>
        <v>31564</v>
      </c>
      <c r="B477">
        <v>1986</v>
      </c>
      <c r="C477">
        <v>6</v>
      </c>
      <c r="D477">
        <v>6.21</v>
      </c>
      <c r="F477" s="3">
        <f>DATE(1986,6,1)</f>
        <v>31564</v>
      </c>
      <c r="G477">
        <v>109.5</v>
      </c>
      <c r="H477">
        <v>109.4</v>
      </c>
      <c r="I477" s="2">
        <f t="shared" si="21"/>
        <v>1.0036697247706423</v>
      </c>
      <c r="J477" s="2">
        <f t="shared" si="22"/>
        <v>2.7547631620002955</v>
      </c>
      <c r="N477" s="2">
        <v>-0.028016491381640935</v>
      </c>
      <c r="P477" s="2">
        <f t="shared" si="23"/>
        <v>-8.147323935259521</v>
      </c>
      <c r="R477">
        <v>0.003201155072426617</v>
      </c>
    </row>
    <row r="478" spans="1:18" ht="12.75">
      <c r="A478" s="1">
        <f>DATE(1986,7,1)</f>
        <v>31594</v>
      </c>
      <c r="B478">
        <v>1986</v>
      </c>
      <c r="C478">
        <v>7</v>
      </c>
      <c r="D478">
        <v>5.84</v>
      </c>
      <c r="F478" s="3">
        <f>DATE(1986,7,1)</f>
        <v>31594</v>
      </c>
      <c r="G478">
        <v>109.5</v>
      </c>
      <c r="H478">
        <v>109.5</v>
      </c>
      <c r="I478" s="2">
        <f t="shared" si="21"/>
        <v>1.0009140767824496</v>
      </c>
      <c r="J478" s="2">
        <f t="shared" si="22"/>
        <v>1.2884540228469188</v>
      </c>
      <c r="N478" s="2">
        <v>-0.027009170713367718</v>
      </c>
      <c r="P478" s="2">
        <f t="shared" si="23"/>
        <v>-1.4663091391533767</v>
      </c>
      <c r="R478">
        <v>0.006700129957369532</v>
      </c>
    </row>
    <row r="479" spans="1:18" ht="12.75">
      <c r="A479" s="1">
        <f>DATE(1986,8,1)</f>
        <v>31625</v>
      </c>
      <c r="B479">
        <v>1986</v>
      </c>
      <c r="C479">
        <v>8</v>
      </c>
      <c r="D479">
        <v>5.57</v>
      </c>
      <c r="F479" s="3">
        <f>DATE(1986,8,1)</f>
        <v>31625</v>
      </c>
      <c r="G479">
        <v>109.7</v>
      </c>
      <c r="H479">
        <v>109.6</v>
      </c>
      <c r="I479" s="2">
        <f t="shared" si="21"/>
        <v>1.0009132420091325</v>
      </c>
      <c r="J479" s="2">
        <f t="shared" si="22"/>
        <v>4.4188619112267125</v>
      </c>
      <c r="N479" s="2">
        <v>-0.005305429627004157</v>
      </c>
      <c r="P479" s="2">
        <f t="shared" si="23"/>
        <v>3.1304078883797937</v>
      </c>
      <c r="R479">
        <v>-0.01856766701039071</v>
      </c>
    </row>
    <row r="480" spans="1:18" ht="12.75">
      <c r="A480" s="1">
        <f>DATE(1986,9,1)</f>
        <v>31656</v>
      </c>
      <c r="B480">
        <v>1986</v>
      </c>
      <c r="C480">
        <v>9</v>
      </c>
      <c r="D480">
        <v>5.19</v>
      </c>
      <c r="F480" s="3">
        <f>DATE(1986,9,1)</f>
        <v>31656</v>
      </c>
      <c r="G480">
        <v>110.2</v>
      </c>
      <c r="H480">
        <v>110</v>
      </c>
      <c r="I480" s="2">
        <f t="shared" si="21"/>
        <v>1.0036496350364965</v>
      </c>
      <c r="J480" s="2">
        <f t="shared" si="22"/>
        <v>4.0440467230728805</v>
      </c>
      <c r="N480" s="2">
        <v>0.006101201810925939</v>
      </c>
      <c r="P480" s="2">
        <f t="shared" si="23"/>
        <v>-0.37481518815383197</v>
      </c>
      <c r="R480">
        <v>0.010352070459376703</v>
      </c>
    </row>
    <row r="481" spans="1:18" ht="12.75">
      <c r="A481" s="1">
        <f>DATE(1986,10,1)</f>
        <v>31686</v>
      </c>
      <c r="B481">
        <v>1986</v>
      </c>
      <c r="C481">
        <v>10</v>
      </c>
      <c r="D481">
        <v>5.18</v>
      </c>
      <c r="F481" s="3">
        <f>DATE(1986,10,1)</f>
        <v>31686</v>
      </c>
      <c r="G481">
        <v>110.3</v>
      </c>
      <c r="H481">
        <v>110.2</v>
      </c>
      <c r="I481" s="2">
        <f t="shared" si="21"/>
        <v>1.001818181818182</v>
      </c>
      <c r="J481" s="2">
        <f t="shared" si="22"/>
        <v>0.6810171300800416</v>
      </c>
      <c r="N481" s="2">
        <v>-0.004509589387534316</v>
      </c>
      <c r="P481" s="2">
        <f t="shared" si="23"/>
        <v>-3.363029592992839</v>
      </c>
      <c r="R481">
        <v>0.020970848799345</v>
      </c>
    </row>
    <row r="482" spans="1:18" ht="12.75">
      <c r="A482" s="1">
        <f>DATE(1986,11,1)</f>
        <v>31717</v>
      </c>
      <c r="B482">
        <v>1986</v>
      </c>
      <c r="C482">
        <v>11</v>
      </c>
      <c r="D482">
        <v>5.35</v>
      </c>
      <c r="F482" s="3">
        <f>DATE(1986,11,1)</f>
        <v>31717</v>
      </c>
      <c r="G482">
        <v>110.4</v>
      </c>
      <c r="H482">
        <v>110.4</v>
      </c>
      <c r="I482" s="2">
        <f t="shared" si="21"/>
        <v>1.001814882032668</v>
      </c>
      <c r="J482" s="2">
        <f t="shared" si="22"/>
        <v>3.078390248211038</v>
      </c>
      <c r="N482" s="2">
        <v>-0.006034323167409405</v>
      </c>
      <c r="P482" s="2">
        <f t="shared" si="23"/>
        <v>2.3973731181309965</v>
      </c>
      <c r="R482">
        <v>-0.008852618806369741</v>
      </c>
    </row>
    <row r="483" spans="1:18" ht="12.75">
      <c r="A483" s="1">
        <f>DATE(1986,12,1)</f>
        <v>31747</v>
      </c>
      <c r="B483">
        <v>1986</v>
      </c>
      <c r="C483">
        <v>12</v>
      </c>
      <c r="D483">
        <v>5.49</v>
      </c>
      <c r="F483" s="3">
        <f>DATE(1986,12,1)</f>
        <v>31747</v>
      </c>
      <c r="G483">
        <v>110.5</v>
      </c>
      <c r="H483">
        <v>110.8</v>
      </c>
      <c r="I483" s="2">
        <f t="shared" si="21"/>
        <v>1.0036231884057971</v>
      </c>
      <c r="J483" s="2">
        <f t="shared" si="22"/>
        <v>3.219451230570436</v>
      </c>
      <c r="N483" s="2">
        <v>-0.015930130923022975</v>
      </c>
      <c r="P483" s="2">
        <f t="shared" si="23"/>
        <v>0.1410609823593978</v>
      </c>
      <c r="R483">
        <v>0.0095141849433731</v>
      </c>
    </row>
    <row r="484" spans="1:18" ht="12.75">
      <c r="A484" s="1">
        <f>DATE(1987,1,1)</f>
        <v>31778</v>
      </c>
      <c r="B484">
        <v>1987</v>
      </c>
      <c r="C484">
        <v>1</v>
      </c>
      <c r="D484">
        <v>5.45</v>
      </c>
      <c r="F484" s="3">
        <f>DATE(1987,1,1)</f>
        <v>31778</v>
      </c>
      <c r="G484">
        <v>111.2</v>
      </c>
      <c r="H484">
        <v>111.4</v>
      </c>
      <c r="I484" s="2">
        <f t="shared" si="21"/>
        <v>1.0054151624548737</v>
      </c>
      <c r="J484" s="2">
        <f t="shared" si="22"/>
        <v>0.9713912011316328</v>
      </c>
      <c r="N484" s="2">
        <v>-0.006353953612210784</v>
      </c>
      <c r="P484" s="2">
        <f t="shared" si="23"/>
        <v>-2.248060029438803</v>
      </c>
      <c r="R484">
        <v>-0.02373340572468398</v>
      </c>
    </row>
    <row r="485" spans="1:18" ht="12.75">
      <c r="A485" s="1">
        <f>DATE(1987,2,1)</f>
        <v>31809</v>
      </c>
      <c r="B485">
        <v>1987</v>
      </c>
      <c r="C485">
        <v>2</v>
      </c>
      <c r="D485">
        <v>5.59</v>
      </c>
      <c r="F485" s="3">
        <f>DATE(1987,2,1)</f>
        <v>31809</v>
      </c>
      <c r="G485">
        <v>111.6</v>
      </c>
      <c r="H485">
        <v>111.8</v>
      </c>
      <c r="I485" s="2">
        <f t="shared" si="21"/>
        <v>1.0035906642728905</v>
      </c>
      <c r="J485" s="2">
        <f t="shared" si="22"/>
        <v>-1.035912513885151</v>
      </c>
      <c r="N485" s="2">
        <v>-0.017979995996122152</v>
      </c>
      <c r="P485" s="2">
        <f t="shared" si="23"/>
        <v>-2.007303715016784</v>
      </c>
      <c r="R485">
        <v>0.021311892966038415</v>
      </c>
    </row>
    <row r="486" spans="1:18" ht="12.75">
      <c r="A486" s="1">
        <f>DATE(1987,3,1)</f>
        <v>31837</v>
      </c>
      <c r="B486">
        <v>1987</v>
      </c>
      <c r="C486">
        <v>3</v>
      </c>
      <c r="D486">
        <v>5.56</v>
      </c>
      <c r="F486" s="3">
        <f>DATE(1987,3,1)</f>
        <v>31837</v>
      </c>
      <c r="G486">
        <v>112.1</v>
      </c>
      <c r="H486">
        <v>112.2</v>
      </c>
      <c r="I486" s="2">
        <f t="shared" si="21"/>
        <v>1.003577817531306</v>
      </c>
      <c r="J486" s="2">
        <f t="shared" si="22"/>
        <v>1.1160344044435</v>
      </c>
      <c r="N486" s="2">
        <v>-0.027415708631817044</v>
      </c>
      <c r="P486" s="2">
        <f t="shared" si="23"/>
        <v>2.151946918328651</v>
      </c>
      <c r="R486">
        <v>-0.0004704217621369968</v>
      </c>
    </row>
    <row r="487" spans="1:18" ht="12.75">
      <c r="A487" s="1">
        <f>DATE(1987,4,1)</f>
        <v>31868</v>
      </c>
      <c r="B487">
        <v>1987</v>
      </c>
      <c r="C487">
        <v>4</v>
      </c>
      <c r="D487">
        <v>5.76</v>
      </c>
      <c r="F487" s="3">
        <f>DATE(1987,4,1)</f>
        <v>31868</v>
      </c>
      <c r="G487">
        <v>112.7</v>
      </c>
      <c r="H487">
        <v>112.7</v>
      </c>
      <c r="I487" s="2">
        <f t="shared" si="21"/>
        <v>1.0044563279857397</v>
      </c>
      <c r="J487" s="2">
        <f t="shared" si="22"/>
        <v>1.3231777042813198</v>
      </c>
      <c r="N487" s="2">
        <v>-0.02334152205565176</v>
      </c>
      <c r="P487" s="2">
        <f t="shared" si="23"/>
        <v>0.20714329983781976</v>
      </c>
      <c r="R487">
        <v>-0.01289791417539334</v>
      </c>
    </row>
    <row r="488" spans="1:18" ht="12.75">
      <c r="A488" s="1">
        <f>DATE(1987,5,1)</f>
        <v>31898</v>
      </c>
      <c r="B488">
        <v>1987</v>
      </c>
      <c r="C488">
        <v>5</v>
      </c>
      <c r="D488">
        <v>5.75</v>
      </c>
      <c r="F488" s="3">
        <f>DATE(1987,5,1)</f>
        <v>31898</v>
      </c>
      <c r="G488">
        <v>113.1</v>
      </c>
      <c r="H488">
        <v>113</v>
      </c>
      <c r="I488" s="2">
        <f t="shared" si="21"/>
        <v>1.002661934338953</v>
      </c>
      <c r="J488" s="2">
        <f t="shared" si="22"/>
        <v>0.255375173569905</v>
      </c>
      <c r="N488" s="2">
        <v>-0.02597542626645792</v>
      </c>
      <c r="P488" s="2">
        <f t="shared" si="23"/>
        <v>-1.0678025307114147</v>
      </c>
      <c r="R488">
        <v>0.004462773115343837</v>
      </c>
    </row>
    <row r="489" spans="1:18" ht="12.75">
      <c r="A489" s="1">
        <f>DATE(1987,6,1)</f>
        <v>31929</v>
      </c>
      <c r="B489">
        <v>1987</v>
      </c>
      <c r="C489">
        <v>6</v>
      </c>
      <c r="D489">
        <v>5.69</v>
      </c>
      <c r="F489" s="3">
        <f>DATE(1987,6,1)</f>
        <v>31929</v>
      </c>
      <c r="G489">
        <v>113.5</v>
      </c>
      <c r="H489">
        <v>113.5</v>
      </c>
      <c r="I489" s="2">
        <f t="shared" si="21"/>
        <v>1.0044247787610618</v>
      </c>
      <c r="J489" s="2">
        <f t="shared" si="22"/>
        <v>2.371618286990662</v>
      </c>
      <c r="N489" s="2">
        <v>-0.01658034428806292</v>
      </c>
      <c r="P489" s="2">
        <f t="shared" si="23"/>
        <v>2.116243113420757</v>
      </c>
      <c r="R489">
        <v>-0.010115291771223773</v>
      </c>
    </row>
    <row r="490" spans="1:18" ht="12.75">
      <c r="A490" s="1">
        <f>DATE(1987,7,1)</f>
        <v>31959</v>
      </c>
      <c r="B490">
        <v>1987</v>
      </c>
      <c r="C490">
        <v>7</v>
      </c>
      <c r="D490">
        <v>5.78</v>
      </c>
      <c r="F490" s="3">
        <f>DATE(1987,7,1)</f>
        <v>31959</v>
      </c>
      <c r="G490">
        <v>113.8</v>
      </c>
      <c r="H490">
        <v>113.8</v>
      </c>
      <c r="I490" s="2">
        <f t="shared" si="21"/>
        <v>1.0026431718061675</v>
      </c>
      <c r="J490" s="2">
        <f t="shared" si="22"/>
        <v>0.32162221197613583</v>
      </c>
      <c r="N490" s="2">
        <v>-0.032780312831153645</v>
      </c>
      <c r="P490" s="2">
        <f t="shared" si="23"/>
        <v>-2.0499960750145263</v>
      </c>
      <c r="R490">
        <v>0.023540683181567358</v>
      </c>
    </row>
    <row r="491" spans="1:18" ht="12.75">
      <c r="A491" s="1">
        <f>DATE(1987,8,1)</f>
        <v>31990</v>
      </c>
      <c r="B491">
        <v>1987</v>
      </c>
      <c r="C491">
        <v>8</v>
      </c>
      <c r="D491">
        <v>6</v>
      </c>
      <c r="F491" s="3">
        <f>DATE(1987,8,1)</f>
        <v>31990</v>
      </c>
      <c r="G491">
        <v>114.4</v>
      </c>
      <c r="H491">
        <v>114.3</v>
      </c>
      <c r="I491" s="2">
        <f t="shared" si="21"/>
        <v>1.0043936731107206</v>
      </c>
      <c r="J491" s="2">
        <f t="shared" si="22"/>
        <v>2.694943169134212</v>
      </c>
      <c r="N491" s="2">
        <v>-0.03527249257507114</v>
      </c>
      <c r="P491" s="2">
        <f t="shared" si="23"/>
        <v>2.373320957158076</v>
      </c>
      <c r="R491">
        <v>-0.010966146868529187</v>
      </c>
    </row>
    <row r="492" spans="1:18" ht="12.75">
      <c r="A492" s="1">
        <f>DATE(1987,9,1)</f>
        <v>32021</v>
      </c>
      <c r="B492">
        <v>1987</v>
      </c>
      <c r="C492">
        <v>9</v>
      </c>
      <c r="D492">
        <v>6.32</v>
      </c>
      <c r="F492" s="3">
        <f>DATE(1987,9,1)</f>
        <v>32021</v>
      </c>
      <c r="G492">
        <v>115</v>
      </c>
      <c r="H492">
        <v>114.7</v>
      </c>
      <c r="I492" s="2">
        <f t="shared" si="21"/>
        <v>1.0034995625546808</v>
      </c>
      <c r="J492" s="2">
        <f t="shared" si="22"/>
        <v>0.8712372826227277</v>
      </c>
      <c r="N492" s="2">
        <v>-0.02970799230997331</v>
      </c>
      <c r="P492" s="2">
        <f t="shared" si="23"/>
        <v>-1.8237058865114841</v>
      </c>
      <c r="R492">
        <v>-0.010861726112326936</v>
      </c>
    </row>
    <row r="493" spans="1:18" ht="12.75">
      <c r="A493" s="1">
        <f>DATE(1987,10,1)</f>
        <v>32051</v>
      </c>
      <c r="B493">
        <v>1987</v>
      </c>
      <c r="C493">
        <v>10</v>
      </c>
      <c r="D493">
        <v>6.4</v>
      </c>
      <c r="F493" s="3">
        <f>DATE(1987,10,1)</f>
        <v>32051</v>
      </c>
      <c r="G493">
        <v>115.3</v>
      </c>
      <c r="H493">
        <v>115</v>
      </c>
      <c r="I493" s="2">
        <f t="shared" si="21"/>
        <v>1.002615518744551</v>
      </c>
      <c r="J493" s="2">
        <f t="shared" si="22"/>
        <v>2.031759951627077</v>
      </c>
      <c r="N493" s="2">
        <v>-0.03706271702674723</v>
      </c>
      <c r="P493" s="2">
        <f t="shared" si="23"/>
        <v>1.160522669004349</v>
      </c>
      <c r="R493">
        <v>0.0158041121581972</v>
      </c>
    </row>
    <row r="494" spans="1:18" ht="12.75">
      <c r="A494" s="1">
        <f>DATE(1987,11,1)</f>
        <v>32082</v>
      </c>
      <c r="B494">
        <v>1987</v>
      </c>
      <c r="C494">
        <v>11</v>
      </c>
      <c r="D494">
        <v>5.81</v>
      </c>
      <c r="F494" s="3">
        <f>DATE(1987,11,1)</f>
        <v>32082</v>
      </c>
      <c r="G494">
        <v>115.4</v>
      </c>
      <c r="H494">
        <v>115.4</v>
      </c>
      <c r="I494" s="2">
        <f t="shared" si="21"/>
        <v>1.0034782608695654</v>
      </c>
      <c r="J494" s="2">
        <f t="shared" si="22"/>
        <v>2.544800607109421</v>
      </c>
      <c r="N494" s="2">
        <v>-0.02083101959070635</v>
      </c>
      <c r="P494" s="2">
        <f t="shared" si="23"/>
        <v>0.5130406554823441</v>
      </c>
      <c r="R494">
        <v>-0.024376728477000374</v>
      </c>
    </row>
    <row r="495" spans="1:18" ht="12.75">
      <c r="A495" s="1">
        <f>DATE(1987,12,1)</f>
        <v>32112</v>
      </c>
      <c r="B495">
        <v>1987</v>
      </c>
      <c r="C495">
        <v>12</v>
      </c>
      <c r="D495">
        <v>5.8</v>
      </c>
      <c r="F495" s="3">
        <f>DATE(1987,12,1)</f>
        <v>32112</v>
      </c>
      <c r="G495">
        <v>115.4</v>
      </c>
      <c r="H495">
        <v>115.6</v>
      </c>
      <c r="I495" s="2">
        <f t="shared" si="21"/>
        <v>1.001733102253033</v>
      </c>
      <c r="J495" s="2">
        <f t="shared" si="22"/>
        <v>1.4822403138643248</v>
      </c>
      <c r="N495" s="2">
        <v>-0.020505268914588873</v>
      </c>
      <c r="P495" s="2">
        <f t="shared" si="23"/>
        <v>-1.0625602932450962</v>
      </c>
      <c r="R495">
        <v>0.015075443141882526</v>
      </c>
    </row>
    <row r="496" spans="1:18" ht="12.75">
      <c r="A496" s="1">
        <f>DATE(1988,1,1)</f>
        <v>32143</v>
      </c>
      <c r="B496">
        <v>1988</v>
      </c>
      <c r="C496">
        <v>1</v>
      </c>
      <c r="D496">
        <v>5.9</v>
      </c>
      <c r="F496" s="3">
        <f>DATE(1988,1,1)</f>
        <v>32143</v>
      </c>
      <c r="G496">
        <v>115.7</v>
      </c>
      <c r="H496">
        <v>116</v>
      </c>
      <c r="I496" s="2">
        <f t="shared" si="21"/>
        <v>1.0034602076124568</v>
      </c>
      <c r="J496" s="2">
        <f t="shared" si="22"/>
        <v>3.722184984962418</v>
      </c>
      <c r="N496" s="2">
        <v>-0.02881855995016839</v>
      </c>
      <c r="P496" s="2">
        <f t="shared" si="23"/>
        <v>2.239944671098093</v>
      </c>
      <c r="R496">
        <v>0.01135953201991812</v>
      </c>
    </row>
    <row r="497" spans="1:18" ht="12.75">
      <c r="A497" s="1">
        <f>DATE(1988,2,1)</f>
        <v>32174</v>
      </c>
      <c r="B497">
        <v>1988</v>
      </c>
      <c r="C497">
        <v>2</v>
      </c>
      <c r="D497">
        <v>5.69</v>
      </c>
      <c r="F497" s="3">
        <f>DATE(1988,2,1)</f>
        <v>32174</v>
      </c>
      <c r="G497">
        <v>116</v>
      </c>
      <c r="H497">
        <v>116.2</v>
      </c>
      <c r="I497" s="2">
        <f t="shared" si="21"/>
        <v>1.0017241379310344</v>
      </c>
      <c r="J497" s="2">
        <f t="shared" si="22"/>
        <v>1.3986180741549337</v>
      </c>
      <c r="N497" s="2">
        <v>-0.03468798104257653</v>
      </c>
      <c r="P497" s="2">
        <f t="shared" si="23"/>
        <v>-2.323566910807484</v>
      </c>
      <c r="R497">
        <v>-0.0043269934389478</v>
      </c>
    </row>
    <row r="498" spans="1:18" ht="12.75">
      <c r="A498" s="1">
        <f>DATE(1988,3,1)</f>
        <v>32203</v>
      </c>
      <c r="B498">
        <v>1988</v>
      </c>
      <c r="C498">
        <v>3</v>
      </c>
      <c r="D498">
        <v>5.69</v>
      </c>
      <c r="F498" s="3">
        <f>DATE(1988,3,1)</f>
        <v>32203</v>
      </c>
      <c r="G498">
        <v>116.5</v>
      </c>
      <c r="H498">
        <v>116.5</v>
      </c>
      <c r="I498" s="2">
        <f t="shared" si="21"/>
        <v>1.0025817555938037</v>
      </c>
      <c r="J498" s="2">
        <f t="shared" si="22"/>
        <v>3.527620442670343</v>
      </c>
      <c r="N498" s="2">
        <v>-0.041385262350951725</v>
      </c>
      <c r="P498" s="2">
        <f t="shared" si="23"/>
        <v>2.129002368515409</v>
      </c>
      <c r="R498">
        <v>0.002715625278419849</v>
      </c>
    </row>
    <row r="499" spans="1:18" ht="12.75">
      <c r="A499" s="1">
        <f>DATE(1988,4,1)</f>
        <v>32234</v>
      </c>
      <c r="B499">
        <v>1988</v>
      </c>
      <c r="C499">
        <v>4</v>
      </c>
      <c r="D499">
        <v>5.92</v>
      </c>
      <c r="F499" s="3">
        <f>DATE(1988,4,1)</f>
        <v>32234</v>
      </c>
      <c r="G499">
        <v>117.1</v>
      </c>
      <c r="H499">
        <v>117.2</v>
      </c>
      <c r="I499" s="2">
        <f t="shared" si="21"/>
        <v>1.0060085836909871</v>
      </c>
      <c r="J499" s="2">
        <f t="shared" si="22"/>
        <v>2.692896712484494</v>
      </c>
      <c r="N499" s="2">
        <v>-0.04011636638671948</v>
      </c>
      <c r="P499" s="2">
        <f t="shared" si="23"/>
        <v>-0.834723730185849</v>
      </c>
      <c r="R499">
        <v>-0.009563945143590906</v>
      </c>
    </row>
    <row r="500" spans="1:18" ht="12.75">
      <c r="A500" s="1">
        <f>DATE(1988,5,1)</f>
        <v>32264</v>
      </c>
      <c r="B500">
        <v>1988</v>
      </c>
      <c r="C500">
        <v>5</v>
      </c>
      <c r="D500">
        <v>6.27</v>
      </c>
      <c r="F500" s="3">
        <f>DATE(1988,5,1)</f>
        <v>32264</v>
      </c>
      <c r="G500">
        <v>117.5</v>
      </c>
      <c r="H500">
        <v>117.5</v>
      </c>
      <c r="I500" s="2">
        <f t="shared" si="21"/>
        <v>1.0025597269624573</v>
      </c>
      <c r="J500" s="2">
        <f t="shared" si="22"/>
        <v>-1.1013314708529842</v>
      </c>
      <c r="N500" s="2">
        <v>-0.026582766752178306</v>
      </c>
      <c r="P500" s="2">
        <f t="shared" si="23"/>
        <v>-3.794228183337478</v>
      </c>
      <c r="R500">
        <v>-0.016836383342982486</v>
      </c>
    </row>
    <row r="501" spans="1:18" ht="12.75">
      <c r="A501" s="1">
        <f>DATE(1988,6,1)</f>
        <v>32295</v>
      </c>
      <c r="B501">
        <v>1988</v>
      </c>
      <c r="C501">
        <v>6</v>
      </c>
      <c r="D501">
        <v>6.5</v>
      </c>
      <c r="F501" s="3">
        <f>DATE(1988,6,1)</f>
        <v>32295</v>
      </c>
      <c r="G501">
        <v>118</v>
      </c>
      <c r="H501">
        <v>118</v>
      </c>
      <c r="I501" s="2">
        <f t="shared" si="21"/>
        <v>1.004255319148936</v>
      </c>
      <c r="J501" s="2">
        <f t="shared" si="22"/>
        <v>3.28245409781851</v>
      </c>
      <c r="N501" s="2">
        <v>-0.017316788716773158</v>
      </c>
      <c r="P501" s="2">
        <f t="shared" si="23"/>
        <v>4.383785568671494</v>
      </c>
      <c r="R501">
        <v>0.008788041120534062</v>
      </c>
    </row>
    <row r="502" spans="1:18" ht="12.75">
      <c r="A502" s="1">
        <f>DATE(1988,7,1)</f>
        <v>32325</v>
      </c>
      <c r="B502">
        <v>1988</v>
      </c>
      <c r="C502">
        <v>7</v>
      </c>
      <c r="D502">
        <v>6.73</v>
      </c>
      <c r="F502" s="3">
        <f>DATE(1988,7,1)</f>
        <v>32325</v>
      </c>
      <c r="G502">
        <v>118.5</v>
      </c>
      <c r="H502">
        <v>118.5</v>
      </c>
      <c r="I502" s="2">
        <f t="shared" si="21"/>
        <v>1.0042372881355932</v>
      </c>
      <c r="J502" s="2">
        <f t="shared" si="22"/>
        <v>1.4277568963526166</v>
      </c>
      <c r="N502" s="2">
        <v>-0.015393751769673496</v>
      </c>
      <c r="P502" s="2">
        <f t="shared" si="23"/>
        <v>-1.8546972014658936</v>
      </c>
      <c r="R502">
        <v>0.006534386586929955</v>
      </c>
    </row>
    <row r="503" spans="1:18" ht="12.75">
      <c r="A503" s="1">
        <f>DATE(1988,8,1)</f>
        <v>32356</v>
      </c>
      <c r="B503">
        <v>1988</v>
      </c>
      <c r="C503">
        <v>8</v>
      </c>
      <c r="D503">
        <v>7.02</v>
      </c>
      <c r="F503" s="3">
        <f>DATE(1988,8,1)</f>
        <v>32356</v>
      </c>
      <c r="G503">
        <v>119</v>
      </c>
      <c r="H503">
        <v>119</v>
      </c>
      <c r="I503" s="2">
        <f t="shared" si="21"/>
        <v>1.0042194092827004</v>
      </c>
      <c r="J503" s="2">
        <f t="shared" si="22"/>
        <v>1.7252650632605615</v>
      </c>
      <c r="N503" s="2">
        <v>-0.0174823638456101</v>
      </c>
      <c r="P503" s="2">
        <f t="shared" si="23"/>
        <v>0.2975081669079449</v>
      </c>
      <c r="R503">
        <v>0.004152366412495321</v>
      </c>
    </row>
    <row r="504" spans="1:18" ht="12.75">
      <c r="A504" s="1">
        <f>DATE(1988,9,1)</f>
        <v>32387</v>
      </c>
      <c r="B504">
        <v>1988</v>
      </c>
      <c r="C504">
        <v>9</v>
      </c>
      <c r="D504">
        <v>7.23</v>
      </c>
      <c r="F504" s="3">
        <f>DATE(1988,9,1)</f>
        <v>32387</v>
      </c>
      <c r="G504">
        <v>119.8</v>
      </c>
      <c r="H504">
        <v>119.5</v>
      </c>
      <c r="I504" s="2">
        <f t="shared" si="21"/>
        <v>1.004201680672269</v>
      </c>
      <c r="J504" s="2">
        <f t="shared" si="22"/>
        <v>1.9466533193904345</v>
      </c>
      <c r="N504" s="2">
        <v>-0.020327357651964986</v>
      </c>
      <c r="P504" s="2">
        <f t="shared" si="23"/>
        <v>0.221388256129873</v>
      </c>
      <c r="R504">
        <v>0.0012293172404984154</v>
      </c>
    </row>
    <row r="505" spans="1:18" ht="12.75">
      <c r="A505" s="1">
        <f>DATE(1988,10,1)</f>
        <v>32417</v>
      </c>
      <c r="B505">
        <v>1988</v>
      </c>
      <c r="C505">
        <v>10</v>
      </c>
      <c r="D505">
        <v>7.34</v>
      </c>
      <c r="F505" s="3">
        <f>DATE(1988,10,1)</f>
        <v>32417</v>
      </c>
      <c r="G505">
        <v>120.2</v>
      </c>
      <c r="H505">
        <v>119.9</v>
      </c>
      <c r="I505" s="2">
        <f t="shared" si="21"/>
        <v>1.003347280334728</v>
      </c>
      <c r="J505" s="2">
        <f t="shared" si="22"/>
        <v>2.072855469916046</v>
      </c>
      <c r="N505" s="2">
        <v>-0.023273549790667408</v>
      </c>
      <c r="P505" s="2">
        <f t="shared" si="23"/>
        <v>0.12620215052561168</v>
      </c>
      <c r="R505">
        <v>-0.0002663369097479167</v>
      </c>
    </row>
    <row r="506" spans="1:18" ht="12.75">
      <c r="A506" s="1">
        <f>DATE(1988,11,1)</f>
        <v>32448</v>
      </c>
      <c r="B506">
        <v>1988</v>
      </c>
      <c r="C506">
        <v>11</v>
      </c>
      <c r="D506">
        <v>7.68</v>
      </c>
      <c r="F506" s="3">
        <f>DATE(1988,11,1)</f>
        <v>32448</v>
      </c>
      <c r="G506">
        <v>120.3</v>
      </c>
      <c r="H506">
        <v>120.3</v>
      </c>
      <c r="I506" s="2">
        <f t="shared" si="21"/>
        <v>1.0033361134278564</v>
      </c>
      <c r="J506" s="2">
        <f t="shared" si="22"/>
        <v>3.447431757561703</v>
      </c>
      <c r="N506" s="2">
        <v>-0.02409508085439751</v>
      </c>
      <c r="P506" s="2">
        <f t="shared" si="23"/>
        <v>1.3745762876456569</v>
      </c>
      <c r="R506">
        <v>-0.001321902326081389</v>
      </c>
    </row>
    <row r="507" spans="1:18" ht="12.75">
      <c r="A507" s="1">
        <f>DATE(1988,12,1)</f>
        <v>32478</v>
      </c>
      <c r="B507">
        <v>1988</v>
      </c>
      <c r="C507">
        <v>12</v>
      </c>
      <c r="D507">
        <v>8.09</v>
      </c>
      <c r="F507" s="3">
        <f>DATE(1988,12,1)</f>
        <v>32478</v>
      </c>
      <c r="G507">
        <v>120.5</v>
      </c>
      <c r="H507">
        <v>120.7</v>
      </c>
      <c r="I507" s="2">
        <f t="shared" si="21"/>
        <v>1.00332502078138</v>
      </c>
      <c r="J507" s="2">
        <f t="shared" si="22"/>
        <v>3.8551855406610436</v>
      </c>
      <c r="N507" s="2">
        <v>-0.03564388021267441</v>
      </c>
      <c r="P507" s="2">
        <f t="shared" si="23"/>
        <v>0.4077537830993405</v>
      </c>
      <c r="R507">
        <v>0.012584623722791977</v>
      </c>
    </row>
    <row r="508" spans="1:18" ht="12.75">
      <c r="A508" s="1">
        <f>DATE(1989,1,1)</f>
        <v>32509</v>
      </c>
      <c r="B508">
        <v>1989</v>
      </c>
      <c r="C508">
        <v>1</v>
      </c>
      <c r="D508">
        <v>8.29</v>
      </c>
      <c r="F508" s="3">
        <f>DATE(1989,1,1)</f>
        <v>32509</v>
      </c>
      <c r="G508">
        <v>121.1</v>
      </c>
      <c r="H508">
        <v>121.2</v>
      </c>
      <c r="I508" s="2">
        <f t="shared" si="21"/>
        <v>1.004142502071251</v>
      </c>
      <c r="J508" s="2">
        <f t="shared" si="22"/>
        <v>4.061154687789936</v>
      </c>
      <c r="N508" s="2">
        <v>-0.03640347272366059</v>
      </c>
      <c r="P508" s="2">
        <f t="shared" si="23"/>
        <v>0.2059691471288927</v>
      </c>
      <c r="R508">
        <v>-0.011656426853127374</v>
      </c>
    </row>
    <row r="509" spans="1:18" ht="12.75">
      <c r="A509" s="1">
        <f>DATE(1989,2,1)</f>
        <v>32540</v>
      </c>
      <c r="B509">
        <v>1989</v>
      </c>
      <c r="C509">
        <v>2</v>
      </c>
      <c r="D509">
        <v>8.48</v>
      </c>
      <c r="F509" s="3">
        <f>DATE(1989,2,1)</f>
        <v>32540</v>
      </c>
      <c r="G509">
        <v>121.6</v>
      </c>
      <c r="H509">
        <v>121.6</v>
      </c>
      <c r="I509" s="2">
        <f t="shared" si="21"/>
        <v>1.0033003300330032</v>
      </c>
      <c r="J509" s="2">
        <f t="shared" si="22"/>
        <v>3.229893604387879</v>
      </c>
      <c r="N509" s="2">
        <v>-0.011141119964010262</v>
      </c>
      <c r="P509" s="2">
        <f t="shared" si="23"/>
        <v>-0.8312610834020573</v>
      </c>
      <c r="R509">
        <v>-0.02774515758476574</v>
      </c>
    </row>
    <row r="510" spans="1:18" ht="12.75">
      <c r="A510" s="1">
        <f>DATE(1989,3,1)</f>
        <v>32568</v>
      </c>
      <c r="B510">
        <v>1989</v>
      </c>
      <c r="C510">
        <v>3</v>
      </c>
      <c r="D510">
        <v>8.83</v>
      </c>
      <c r="F510" s="3">
        <f>DATE(1989,3,1)</f>
        <v>32568</v>
      </c>
      <c r="G510">
        <v>122.3</v>
      </c>
      <c r="H510">
        <v>122.2</v>
      </c>
      <c r="I510" s="2">
        <f t="shared" si="21"/>
        <v>1.004934210526316</v>
      </c>
      <c r="J510" s="2">
        <f t="shared" si="22"/>
        <v>4.610955259998817</v>
      </c>
      <c r="N510" s="2">
        <v>0.012303129605627091</v>
      </c>
      <c r="P510" s="2">
        <f t="shared" si="23"/>
        <v>1.3810616556109379</v>
      </c>
      <c r="R510">
        <v>0.003555473247812457</v>
      </c>
    </row>
    <row r="511" spans="1:18" ht="12.75">
      <c r="A511" s="1">
        <f>DATE(1989,4,1)</f>
        <v>32599</v>
      </c>
      <c r="B511">
        <v>1989</v>
      </c>
      <c r="C511">
        <v>4</v>
      </c>
      <c r="D511">
        <v>8.7</v>
      </c>
      <c r="F511" s="3">
        <f>DATE(1989,4,1)</f>
        <v>32599</v>
      </c>
      <c r="G511">
        <v>123.1</v>
      </c>
      <c r="H511">
        <v>123.1</v>
      </c>
      <c r="I511" s="2">
        <f t="shared" si="21"/>
        <v>1.0073649754500817</v>
      </c>
      <c r="J511" s="2">
        <f t="shared" si="22"/>
        <v>2.465572863958365</v>
      </c>
      <c r="N511" s="2">
        <v>0.011564417529433754</v>
      </c>
      <c r="P511" s="2">
        <f t="shared" si="23"/>
        <v>-2.1453823960404517</v>
      </c>
      <c r="R511">
        <v>0.02390847174376701</v>
      </c>
    </row>
    <row r="512" spans="1:18" ht="12.75">
      <c r="A512" s="1">
        <f>DATE(1989,5,1)</f>
        <v>32629</v>
      </c>
      <c r="B512">
        <v>1989</v>
      </c>
      <c r="C512">
        <v>5</v>
      </c>
      <c r="D512">
        <v>8.4</v>
      </c>
      <c r="F512" s="3">
        <f>DATE(1989,5,1)</f>
        <v>32629</v>
      </c>
      <c r="G512">
        <v>123.8</v>
      </c>
      <c r="H512">
        <v>123.7</v>
      </c>
      <c r="I512" s="2">
        <f t="shared" si="21"/>
        <v>1.0048740861088548</v>
      </c>
      <c r="J512" s="2">
        <f t="shared" si="22"/>
        <v>-0.737063705684915</v>
      </c>
      <c r="N512" s="2">
        <v>-0.0014886624447725551</v>
      </c>
      <c r="P512" s="2">
        <f t="shared" si="23"/>
        <v>-3.20263656964328</v>
      </c>
      <c r="R512">
        <v>0.01093893027131625</v>
      </c>
    </row>
    <row r="513" spans="1:18" ht="12.75">
      <c r="A513" s="1">
        <f>DATE(1989,6,1)</f>
        <v>32660</v>
      </c>
      <c r="B513">
        <v>1989</v>
      </c>
      <c r="C513">
        <v>6</v>
      </c>
      <c r="D513">
        <v>8.22</v>
      </c>
      <c r="F513" s="3">
        <f>DATE(1989,6,1)</f>
        <v>32660</v>
      </c>
      <c r="G513">
        <v>124.1</v>
      </c>
      <c r="H513">
        <v>124.1</v>
      </c>
      <c r="I513" s="2">
        <f t="shared" si="21"/>
        <v>1.0032336297493936</v>
      </c>
      <c r="J513" s="2">
        <f t="shared" si="22"/>
        <v>2.0863718407197585</v>
      </c>
      <c r="N513" s="2">
        <v>-0.0017652755120630005</v>
      </c>
      <c r="P513" s="2">
        <f t="shared" si="23"/>
        <v>2.8234355464046734</v>
      </c>
      <c r="R513">
        <v>-0.011985161503526931</v>
      </c>
    </row>
    <row r="514" spans="1:18" ht="12.75">
      <c r="A514" s="1">
        <f>DATE(1989,7,1)</f>
        <v>32690</v>
      </c>
      <c r="B514">
        <v>1989</v>
      </c>
      <c r="C514">
        <v>7</v>
      </c>
      <c r="D514">
        <v>7.92</v>
      </c>
      <c r="F514" s="3">
        <f>DATE(1989,7,1)</f>
        <v>32690</v>
      </c>
      <c r="G514">
        <v>124.4</v>
      </c>
      <c r="H514">
        <v>124.5</v>
      </c>
      <c r="I514" s="2">
        <f t="shared" si="21"/>
        <v>1.0032232070910556</v>
      </c>
      <c r="J514" s="2">
        <f t="shared" si="22"/>
        <v>3.8190269780824737</v>
      </c>
      <c r="N514" s="2">
        <v>-0.02857354947054253</v>
      </c>
      <c r="P514" s="2">
        <f t="shared" si="23"/>
        <v>1.7326551373627153</v>
      </c>
      <c r="R514">
        <v>0.030423436960558364</v>
      </c>
    </row>
    <row r="515" spans="1:18" ht="12.75">
      <c r="A515" s="1">
        <f>DATE(1989,8,1)</f>
        <v>32721</v>
      </c>
      <c r="B515">
        <v>1989</v>
      </c>
      <c r="C515">
        <v>8</v>
      </c>
      <c r="D515">
        <v>7.91</v>
      </c>
      <c r="F515" s="3">
        <f>DATE(1989,8,1)</f>
        <v>32721</v>
      </c>
      <c r="G515">
        <v>124.6</v>
      </c>
      <c r="H515">
        <v>124.5</v>
      </c>
      <c r="I515" s="2">
        <f t="shared" si="21"/>
        <v>1</v>
      </c>
      <c r="J515" s="2">
        <f t="shared" si="22"/>
        <v>3.8223496440913607</v>
      </c>
      <c r="N515" s="2">
        <v>-0.009755455287287926</v>
      </c>
      <c r="P515" s="2">
        <f t="shared" si="23"/>
        <v>0.0033226660088869764</v>
      </c>
      <c r="R515">
        <v>-0.049002205340795066</v>
      </c>
    </row>
    <row r="516" spans="1:18" ht="12.75">
      <c r="A516" s="1">
        <f>DATE(1989,9,1)</f>
        <v>32752</v>
      </c>
      <c r="B516">
        <v>1989</v>
      </c>
      <c r="C516">
        <v>9</v>
      </c>
      <c r="D516">
        <v>7.72</v>
      </c>
      <c r="F516" s="3">
        <f>DATE(1989,9,1)</f>
        <v>32752</v>
      </c>
      <c r="G516">
        <v>125</v>
      </c>
      <c r="H516">
        <v>124.8</v>
      </c>
      <c r="I516" s="2">
        <f t="shared" si="21"/>
        <v>1.002409638554217</v>
      </c>
      <c r="J516" s="2">
        <f t="shared" si="22"/>
        <v>7.7199999999999935</v>
      </c>
      <c r="N516" s="2">
        <v>-0.010802921084397362</v>
      </c>
      <c r="P516" s="2">
        <f t="shared" si="23"/>
        <v>3.897650355908633</v>
      </c>
      <c r="R516">
        <v>0.024509117389207278</v>
      </c>
    </row>
    <row r="517" spans="1:18" ht="12.75">
      <c r="A517" s="1">
        <f>DATE(1989,10,1)</f>
        <v>32782</v>
      </c>
      <c r="B517">
        <v>1989</v>
      </c>
      <c r="C517">
        <v>10</v>
      </c>
      <c r="D517">
        <v>7.63</v>
      </c>
      <c r="F517" s="3">
        <f>DATE(1989,10,1)</f>
        <v>32782</v>
      </c>
      <c r="G517">
        <v>125.6</v>
      </c>
      <c r="H517">
        <v>125.4</v>
      </c>
      <c r="I517" s="2">
        <f t="shared" si="21"/>
        <v>1.0048076923076923</v>
      </c>
      <c r="J517" s="2">
        <f t="shared" si="22"/>
        <v>4.5660091933634295</v>
      </c>
      <c r="N517" s="2">
        <v>-0.008082559008645082</v>
      </c>
      <c r="P517" s="2">
        <f t="shared" si="23"/>
        <v>-3.153990806636564</v>
      </c>
      <c r="R517">
        <v>-0.008048560053348534</v>
      </c>
    </row>
    <row r="518" spans="1:18" ht="12.75">
      <c r="A518" s="1">
        <f>DATE(1989,11,1)</f>
        <v>32813</v>
      </c>
      <c r="B518">
        <v>1989</v>
      </c>
      <c r="C518">
        <v>11</v>
      </c>
      <c r="D518">
        <v>7.65</v>
      </c>
      <c r="F518" s="3">
        <f>DATE(1989,11,1)</f>
        <v>32813</v>
      </c>
      <c r="G518">
        <v>125.9</v>
      </c>
      <c r="H518">
        <v>125.9</v>
      </c>
      <c r="I518" s="2">
        <f aca="true" t="shared" si="24" ref="I518:I581">H518/H517</f>
        <v>1.003987240829346</v>
      </c>
      <c r="J518" s="2">
        <f t="shared" si="22"/>
        <v>1.62922654770421</v>
      </c>
      <c r="N518" s="2">
        <v>0.006957129540228454</v>
      </c>
      <c r="P518" s="2">
        <f t="shared" si="23"/>
        <v>-2.9367826456592194</v>
      </c>
      <c r="R518">
        <v>-0.015131307374043059</v>
      </c>
    </row>
    <row r="519" spans="1:18" ht="12.75">
      <c r="A519" s="1">
        <f>DATE(1989,12,1)</f>
        <v>32843</v>
      </c>
      <c r="B519">
        <v>1989</v>
      </c>
      <c r="C519">
        <v>12</v>
      </c>
      <c r="D519">
        <v>7.64</v>
      </c>
      <c r="F519" s="3">
        <f>DATE(1989,12,1)</f>
        <v>32843</v>
      </c>
      <c r="G519">
        <v>126.1</v>
      </c>
      <c r="H519">
        <v>126.3</v>
      </c>
      <c r="I519" s="2">
        <f t="shared" si="24"/>
        <v>1.0031771247021446</v>
      </c>
      <c r="J519" s="2">
        <f aca="true" t="shared" si="25" ref="J519:J582">((1+D519/100)/(I518^12)-1)*100</f>
        <v>2.6207928582273166</v>
      </c>
      <c r="N519" s="2">
        <v>0.003479599491048921</v>
      </c>
      <c r="P519" s="2">
        <f t="shared" si="23"/>
        <v>0.9915663105231065</v>
      </c>
      <c r="R519">
        <v>0.02077947981264527</v>
      </c>
    </row>
    <row r="520" spans="1:18" ht="12.75">
      <c r="A520" s="1">
        <f>DATE(1990,1,1)</f>
        <v>32874</v>
      </c>
      <c r="B520">
        <v>1990</v>
      </c>
      <c r="C520">
        <v>1</v>
      </c>
      <c r="D520">
        <v>7.64</v>
      </c>
      <c r="F520" s="3">
        <f>DATE(1990,1,1)</f>
        <v>32874</v>
      </c>
      <c r="G520">
        <v>127.4</v>
      </c>
      <c r="H520">
        <v>127.5</v>
      </c>
      <c r="I520" s="2">
        <f t="shared" si="24"/>
        <v>1.009501187648456</v>
      </c>
      <c r="J520" s="2">
        <f t="shared" si="25"/>
        <v>3.619679275699861</v>
      </c>
      <c r="N520" s="2">
        <v>-0.007436970594520002</v>
      </c>
      <c r="P520" s="2">
        <f aca="true" t="shared" si="26" ref="P520:P583">J520-J519</f>
        <v>0.9988864174725443</v>
      </c>
      <c r="R520">
        <v>0.008585035019820771</v>
      </c>
    </row>
    <row r="521" spans="1:18" ht="12.75">
      <c r="A521" s="1">
        <f>DATE(1990,2,1)</f>
        <v>32905</v>
      </c>
      <c r="B521">
        <v>1990</v>
      </c>
      <c r="C521">
        <v>2</v>
      </c>
      <c r="D521">
        <v>7.76</v>
      </c>
      <c r="F521" s="3">
        <f>DATE(1990,2,1)</f>
        <v>32905</v>
      </c>
      <c r="G521">
        <v>128</v>
      </c>
      <c r="H521">
        <v>128</v>
      </c>
      <c r="I521" s="2">
        <f t="shared" si="24"/>
        <v>1.003921568627451</v>
      </c>
      <c r="J521" s="2">
        <f t="shared" si="25"/>
        <v>-3.799889223132813</v>
      </c>
      <c r="N521" s="2">
        <v>-0.010208999403685498</v>
      </c>
      <c r="P521" s="2">
        <f t="shared" si="26"/>
        <v>-7.419568498832674</v>
      </c>
      <c r="R521">
        <v>-0.01497145260511929</v>
      </c>
    </row>
    <row r="522" spans="1:18" ht="12.75">
      <c r="A522" s="1">
        <f>DATE(1990,3,1)</f>
        <v>32933</v>
      </c>
      <c r="B522">
        <v>1990</v>
      </c>
      <c r="C522">
        <v>3</v>
      </c>
      <c r="D522">
        <v>7.87</v>
      </c>
      <c r="F522" s="3">
        <f>DATE(1990,3,1)</f>
        <v>32933</v>
      </c>
      <c r="G522">
        <v>128.7</v>
      </c>
      <c r="H522">
        <v>128.6</v>
      </c>
      <c r="I522" s="2">
        <f t="shared" si="24"/>
        <v>1.0046875</v>
      </c>
      <c r="J522" s="2">
        <f t="shared" si="25"/>
        <v>2.9208253311559407</v>
      </c>
      <c r="N522" s="2">
        <v>-0.014323182882597563</v>
      </c>
      <c r="P522" s="2">
        <f t="shared" si="26"/>
        <v>6.720714554288754</v>
      </c>
      <c r="R522">
        <v>0.007122711775732512</v>
      </c>
    </row>
    <row r="523" spans="1:18" ht="12.75">
      <c r="A523" s="1">
        <f>DATE(1990,4,1)</f>
        <v>32964</v>
      </c>
      <c r="B523">
        <v>1990</v>
      </c>
      <c r="C523">
        <v>4</v>
      </c>
      <c r="D523">
        <v>7.78</v>
      </c>
      <c r="F523" s="3">
        <f>DATE(1990,4,1)</f>
        <v>32964</v>
      </c>
      <c r="G523">
        <v>128.9</v>
      </c>
      <c r="H523">
        <v>128.9</v>
      </c>
      <c r="I523" s="2">
        <f t="shared" si="24"/>
        <v>1.0023328149300157</v>
      </c>
      <c r="J523" s="2">
        <f t="shared" si="25"/>
        <v>1.8981248198116196</v>
      </c>
      <c r="N523" s="2">
        <v>-0.03645324373374941</v>
      </c>
      <c r="P523" s="2">
        <f t="shared" si="26"/>
        <v>-1.022700511344321</v>
      </c>
      <c r="R523">
        <v>0.01783811217000091</v>
      </c>
    </row>
    <row r="524" spans="1:18" ht="12.75">
      <c r="A524" s="1">
        <f>DATE(1990,5,1)</f>
        <v>32994</v>
      </c>
      <c r="B524">
        <v>1990</v>
      </c>
      <c r="C524">
        <v>5</v>
      </c>
      <c r="D524">
        <v>7.78</v>
      </c>
      <c r="F524" s="3">
        <f>DATE(1990,5,1)</f>
        <v>32994</v>
      </c>
      <c r="G524">
        <v>129.2</v>
      </c>
      <c r="H524">
        <v>129.1</v>
      </c>
      <c r="I524" s="2">
        <f t="shared" si="24"/>
        <v>1.0015515903801395</v>
      </c>
      <c r="J524" s="2">
        <f t="shared" si="25"/>
        <v>4.808086985908022</v>
      </c>
      <c r="N524" s="2">
        <v>-0.0336946809258971</v>
      </c>
      <c r="P524" s="2">
        <f t="shared" si="26"/>
        <v>2.9099621660964026</v>
      </c>
      <c r="R524">
        <v>-0.023303396438026612</v>
      </c>
    </row>
    <row r="525" spans="1:18" ht="12.75">
      <c r="A525" s="1">
        <f>DATE(1990,6,1)</f>
        <v>33025</v>
      </c>
      <c r="B525">
        <v>1990</v>
      </c>
      <c r="C525">
        <v>6</v>
      </c>
      <c r="D525">
        <v>7.74</v>
      </c>
      <c r="F525" s="3">
        <f>DATE(1990,6,1)</f>
        <v>33025</v>
      </c>
      <c r="G525">
        <v>129.9</v>
      </c>
      <c r="H525">
        <v>129.9</v>
      </c>
      <c r="I525" s="2">
        <f t="shared" si="24"/>
        <v>1.0061967467079784</v>
      </c>
      <c r="J525" s="2">
        <f t="shared" si="25"/>
        <v>5.754065577312972</v>
      </c>
      <c r="N525" s="2">
        <v>-0.020006513584024634</v>
      </c>
      <c r="P525" s="2">
        <f t="shared" si="26"/>
        <v>0.9459785914049501</v>
      </c>
      <c r="R525">
        <v>-0.009621885593971626</v>
      </c>
    </row>
    <row r="526" spans="1:18" ht="12.75">
      <c r="A526" s="1">
        <f>DATE(1990,7,1)</f>
        <v>33055</v>
      </c>
      <c r="B526">
        <v>1990</v>
      </c>
      <c r="C526">
        <v>7</v>
      </c>
      <c r="D526">
        <v>7.66</v>
      </c>
      <c r="F526" s="3">
        <f>DATE(1990,7,1)</f>
        <v>33055</v>
      </c>
      <c r="G526">
        <v>130.4</v>
      </c>
      <c r="H526">
        <v>130.5</v>
      </c>
      <c r="I526" s="2">
        <f t="shared" si="24"/>
        <v>1.0046189376443417</v>
      </c>
      <c r="J526" s="2">
        <f t="shared" si="25"/>
        <v>-0.03235303955163582</v>
      </c>
      <c r="N526" s="2">
        <v>-0.005889192225955933</v>
      </c>
      <c r="P526" s="2">
        <f t="shared" si="26"/>
        <v>-5.786418616864609</v>
      </c>
      <c r="R526">
        <v>-0.006980255724485702</v>
      </c>
    </row>
    <row r="527" spans="1:18" ht="12.75">
      <c r="A527" s="1">
        <f>DATE(1990,8,1)</f>
        <v>33086</v>
      </c>
      <c r="B527">
        <v>1990</v>
      </c>
      <c r="C527">
        <v>8</v>
      </c>
      <c r="D527">
        <v>7.44</v>
      </c>
      <c r="F527" s="3">
        <f>DATE(1990,8,1)</f>
        <v>33086</v>
      </c>
      <c r="G527">
        <v>131.6</v>
      </c>
      <c r="H527">
        <v>131.6</v>
      </c>
      <c r="I527" s="2">
        <f t="shared" si="24"/>
        <v>1.0084291187739463</v>
      </c>
      <c r="J527" s="2">
        <f t="shared" si="25"/>
        <v>1.6598986614888789</v>
      </c>
      <c r="N527" s="2">
        <v>-0.020710310745451984</v>
      </c>
      <c r="P527" s="2">
        <f t="shared" si="26"/>
        <v>1.6922517010405147</v>
      </c>
      <c r="R527">
        <v>0.032631257113408176</v>
      </c>
    </row>
    <row r="528" spans="1:18" ht="12.75">
      <c r="A528" s="1">
        <f>DATE(1990,9,1)</f>
        <v>33117</v>
      </c>
      <c r="B528">
        <v>1990</v>
      </c>
      <c r="C528">
        <v>9</v>
      </c>
      <c r="D528">
        <v>7.38</v>
      </c>
      <c r="F528" s="3">
        <f>DATE(1990,9,1)</f>
        <v>33117</v>
      </c>
      <c r="G528">
        <v>132.7</v>
      </c>
      <c r="H528">
        <v>132.5</v>
      </c>
      <c r="I528" s="2">
        <f t="shared" si="24"/>
        <v>1.006838905775076</v>
      </c>
      <c r="J528" s="2">
        <f t="shared" si="25"/>
        <v>-2.9090236511820855</v>
      </c>
      <c r="N528" s="2">
        <v>-0.014030719483083692</v>
      </c>
      <c r="P528" s="2">
        <f t="shared" si="26"/>
        <v>-4.568922312670964</v>
      </c>
      <c r="R528">
        <v>-0.028152857201733703</v>
      </c>
    </row>
    <row r="529" spans="1:18" ht="12.75">
      <c r="A529" s="1">
        <f>DATE(1990,10,1)</f>
        <v>33147</v>
      </c>
      <c r="B529">
        <v>1990</v>
      </c>
      <c r="C529">
        <v>10</v>
      </c>
      <c r="D529">
        <v>7.19</v>
      </c>
      <c r="F529" s="3">
        <f>DATE(1990,10,1)</f>
        <v>33147</v>
      </c>
      <c r="G529">
        <v>133.5</v>
      </c>
      <c r="H529">
        <v>133.4</v>
      </c>
      <c r="I529" s="2">
        <f t="shared" si="24"/>
        <v>1.0067924528301888</v>
      </c>
      <c r="J529" s="2">
        <f t="shared" si="25"/>
        <v>-1.2278737195022815</v>
      </c>
      <c r="N529" s="2">
        <v>-0.031167595904773804</v>
      </c>
      <c r="P529" s="2">
        <f t="shared" si="26"/>
        <v>1.681149931679804</v>
      </c>
      <c r="R529">
        <v>0.028378251948988267</v>
      </c>
    </row>
    <row r="530" spans="1:18" ht="12.75">
      <c r="A530" s="1">
        <f>DATE(1990,11,1)</f>
        <v>33178</v>
      </c>
      <c r="B530">
        <v>1990</v>
      </c>
      <c r="C530">
        <v>11</v>
      </c>
      <c r="D530">
        <v>7.07</v>
      </c>
      <c r="F530" s="3">
        <f>DATE(1990,11,1)</f>
        <v>33178</v>
      </c>
      <c r="G530">
        <v>133.8</v>
      </c>
      <c r="H530">
        <v>133.7</v>
      </c>
      <c r="I530" s="2">
        <f t="shared" si="24"/>
        <v>1.0022488755622188</v>
      </c>
      <c r="J530" s="2">
        <f t="shared" si="25"/>
        <v>-1.2838095954461615</v>
      </c>
      <c r="N530" s="2">
        <v>-0.0429511037327545</v>
      </c>
      <c r="P530" s="2">
        <f t="shared" si="26"/>
        <v>-0.05593587594387994</v>
      </c>
      <c r="R530">
        <v>-0.007112621050041218</v>
      </c>
    </row>
    <row r="531" spans="1:18" ht="12.75">
      <c r="A531" s="1">
        <f>DATE(1990,12,1)</f>
        <v>33208</v>
      </c>
      <c r="B531">
        <v>1990</v>
      </c>
      <c r="C531">
        <v>12</v>
      </c>
      <c r="D531">
        <v>6.81</v>
      </c>
      <c r="F531" s="3">
        <f>DATE(1990,12,1)</f>
        <v>33208</v>
      </c>
      <c r="G531">
        <v>133.8</v>
      </c>
      <c r="H531">
        <v>134.2</v>
      </c>
      <c r="I531" s="2">
        <f t="shared" si="24"/>
        <v>1.0037397157816006</v>
      </c>
      <c r="J531" s="2">
        <f t="shared" si="25"/>
        <v>3.969267179939373</v>
      </c>
      <c r="N531" s="2">
        <v>-0.03704458232443902</v>
      </c>
      <c r="P531" s="2">
        <f t="shared" si="26"/>
        <v>5.2530767753855345</v>
      </c>
      <c r="R531">
        <v>-0.01372360496227975</v>
      </c>
    </row>
    <row r="532" spans="1:18" ht="12.75">
      <c r="A532" s="1">
        <f>DATE(1991,1,1)</f>
        <v>33239</v>
      </c>
      <c r="B532">
        <v>1991</v>
      </c>
      <c r="C532">
        <v>1</v>
      </c>
      <c r="D532">
        <v>6.3</v>
      </c>
      <c r="F532" s="3">
        <f>DATE(1991,1,1)</f>
        <v>33239</v>
      </c>
      <c r="G532">
        <v>134.6</v>
      </c>
      <c r="H532">
        <v>134.7</v>
      </c>
      <c r="I532" s="2">
        <f t="shared" si="24"/>
        <v>1.003725782414307</v>
      </c>
      <c r="J532" s="2">
        <f t="shared" si="25"/>
        <v>1.6435820335444884</v>
      </c>
      <c r="N532" s="2">
        <v>-0.028378535104736025</v>
      </c>
      <c r="P532" s="2">
        <f t="shared" si="26"/>
        <v>-2.3256851463948847</v>
      </c>
      <c r="R532">
        <v>-0.0034686084610766753</v>
      </c>
    </row>
    <row r="533" spans="1:18" ht="12.75">
      <c r="A533" s="1">
        <f>DATE(1991,2,1)</f>
        <v>33270</v>
      </c>
      <c r="B533">
        <v>1991</v>
      </c>
      <c r="C533">
        <v>2</v>
      </c>
      <c r="D533">
        <v>5.95</v>
      </c>
      <c r="F533" s="3">
        <f>DATE(1991,2,1)</f>
        <v>33270</v>
      </c>
      <c r="G533">
        <v>134.8</v>
      </c>
      <c r="H533">
        <v>134.8</v>
      </c>
      <c r="I533" s="2">
        <f t="shared" si="24"/>
        <v>1.0007423904974018</v>
      </c>
      <c r="J533" s="2">
        <f t="shared" si="25"/>
        <v>1.325790911089042</v>
      </c>
      <c r="N533" s="2">
        <v>-0.03540851785583935</v>
      </c>
      <c r="P533" s="2">
        <f t="shared" si="26"/>
        <v>-0.3177911224554464</v>
      </c>
      <c r="R533">
        <v>0.0158463094586702</v>
      </c>
    </row>
    <row r="534" spans="1:18" ht="12.75">
      <c r="A534" s="1">
        <f>DATE(1991,3,1)</f>
        <v>33298</v>
      </c>
      <c r="B534">
        <v>1991</v>
      </c>
      <c r="C534">
        <v>3</v>
      </c>
      <c r="D534">
        <v>5.91</v>
      </c>
      <c r="F534" s="3">
        <f>DATE(1991,3,1)</f>
        <v>33298</v>
      </c>
      <c r="G534">
        <v>135</v>
      </c>
      <c r="H534">
        <v>134.8</v>
      </c>
      <c r="I534" s="2">
        <f t="shared" si="24"/>
        <v>1</v>
      </c>
      <c r="J534" s="2">
        <f t="shared" si="25"/>
        <v>4.971018325754439</v>
      </c>
      <c r="N534" s="2">
        <v>-0.03494544174352108</v>
      </c>
      <c r="P534" s="2">
        <f t="shared" si="26"/>
        <v>3.6452274146653973</v>
      </c>
      <c r="R534">
        <v>-0.0046893245939185245</v>
      </c>
    </row>
    <row r="535" spans="1:18" ht="12.75">
      <c r="A535" s="1">
        <f>DATE(1991,4,1)</f>
        <v>33329</v>
      </c>
      <c r="B535">
        <v>1991</v>
      </c>
      <c r="C535">
        <v>4</v>
      </c>
      <c r="D535">
        <v>5.67</v>
      </c>
      <c r="F535" s="3">
        <f>DATE(1991,4,1)</f>
        <v>33329</v>
      </c>
      <c r="G535">
        <v>135.2</v>
      </c>
      <c r="H535">
        <v>135.1</v>
      </c>
      <c r="I535" s="2">
        <f t="shared" si="24"/>
        <v>1.0022255192878338</v>
      </c>
      <c r="J535" s="2">
        <f t="shared" si="25"/>
        <v>5.669999999999997</v>
      </c>
      <c r="N535" s="2">
        <v>-0.011398884961212094</v>
      </c>
      <c r="P535" s="2">
        <f t="shared" si="26"/>
        <v>0.6989816742455579</v>
      </c>
      <c r="R535">
        <v>-0.02414240158807052</v>
      </c>
    </row>
    <row r="536" spans="1:18" ht="12.75">
      <c r="A536" s="1">
        <f>DATE(1991,5,1)</f>
        <v>33359</v>
      </c>
      <c r="B536">
        <v>1991</v>
      </c>
      <c r="C536">
        <v>5</v>
      </c>
      <c r="D536">
        <v>5.51</v>
      </c>
      <c r="F536" s="3">
        <f>DATE(1991,5,1)</f>
        <v>33359</v>
      </c>
      <c r="G536">
        <v>135.6</v>
      </c>
      <c r="H536">
        <v>135.6</v>
      </c>
      <c r="I536" s="2">
        <f t="shared" si="24"/>
        <v>1.0037009622501851</v>
      </c>
      <c r="J536" s="2">
        <f t="shared" si="25"/>
        <v>2.732567262017338</v>
      </c>
      <c r="N536" s="2">
        <v>-0.008726495012536492</v>
      </c>
      <c r="P536" s="2">
        <f t="shared" si="26"/>
        <v>-2.9374327379826592</v>
      </c>
      <c r="R536">
        <v>0.018823510654007017</v>
      </c>
    </row>
    <row r="537" spans="1:18" ht="12.75">
      <c r="A537" s="1">
        <f>DATE(1991,6,1)</f>
        <v>33390</v>
      </c>
      <c r="B537">
        <v>1991</v>
      </c>
      <c r="C537">
        <v>6</v>
      </c>
      <c r="D537">
        <v>5.6</v>
      </c>
      <c r="F537" s="3">
        <f>DATE(1991,6,1)</f>
        <v>33390</v>
      </c>
      <c r="G537">
        <v>136</v>
      </c>
      <c r="H537">
        <v>136</v>
      </c>
      <c r="I537" s="2">
        <f t="shared" si="24"/>
        <v>1.0029498525073748</v>
      </c>
      <c r="J537" s="2">
        <f t="shared" si="25"/>
        <v>1.02103927390631</v>
      </c>
      <c r="N537" s="2">
        <v>-0.016324633084538777</v>
      </c>
      <c r="P537" s="2">
        <f t="shared" si="26"/>
        <v>-1.711527988111028</v>
      </c>
      <c r="R537">
        <v>0.009146760822828606</v>
      </c>
    </row>
    <row r="538" spans="1:18" ht="12.75">
      <c r="A538" s="1">
        <f>DATE(1991,7,1)</f>
        <v>33420</v>
      </c>
      <c r="B538">
        <v>1991</v>
      </c>
      <c r="C538">
        <v>7</v>
      </c>
      <c r="D538">
        <v>5.58</v>
      </c>
      <c r="F538" s="3">
        <f>DATE(1991,7,1)</f>
        <v>33420</v>
      </c>
      <c r="G538">
        <v>136.2</v>
      </c>
      <c r="H538">
        <v>136.2</v>
      </c>
      <c r="I538" s="2">
        <f t="shared" si="24"/>
        <v>1.0014705882352941</v>
      </c>
      <c r="J538" s="2">
        <f t="shared" si="25"/>
        <v>1.9133392171579278</v>
      </c>
      <c r="N538" s="2">
        <v>-0.017684068043350647</v>
      </c>
      <c r="P538" s="2">
        <f t="shared" si="26"/>
        <v>0.8922999432516177</v>
      </c>
      <c r="R538">
        <v>-0.006613122634814578</v>
      </c>
    </row>
    <row r="539" spans="1:18" ht="12.75">
      <c r="A539" s="1">
        <f>DATE(1991,8,1)</f>
        <v>33451</v>
      </c>
      <c r="B539">
        <v>1991</v>
      </c>
      <c r="C539">
        <v>8</v>
      </c>
      <c r="D539">
        <v>5.39</v>
      </c>
      <c r="F539" s="3">
        <f>DATE(1991,8,1)</f>
        <v>33451</v>
      </c>
      <c r="G539">
        <v>136.6</v>
      </c>
      <c r="H539">
        <v>136.6</v>
      </c>
      <c r="I539" s="2">
        <f t="shared" si="24"/>
        <v>1.0029368575624082</v>
      </c>
      <c r="J539" s="2">
        <f t="shared" si="25"/>
        <v>3.547832861170397</v>
      </c>
      <c r="N539" s="2">
        <v>-0.006081716050734701</v>
      </c>
      <c r="P539" s="2">
        <f t="shared" si="26"/>
        <v>1.634493644012469</v>
      </c>
      <c r="R539">
        <v>-0.011589688650507043</v>
      </c>
    </row>
    <row r="540" spans="1:18" ht="12.75">
      <c r="A540" s="1">
        <f>DATE(1991,9,1)</f>
        <v>33482</v>
      </c>
      <c r="B540">
        <v>1991</v>
      </c>
      <c r="C540">
        <v>9</v>
      </c>
      <c r="D540">
        <v>5.25</v>
      </c>
      <c r="F540" s="3">
        <f>DATE(1991,9,1)</f>
        <v>33482</v>
      </c>
      <c r="G540">
        <v>137.2</v>
      </c>
      <c r="H540">
        <v>137</v>
      </c>
      <c r="I540" s="2">
        <f t="shared" si="24"/>
        <v>1.0029282576866765</v>
      </c>
      <c r="J540" s="2">
        <f t="shared" si="25"/>
        <v>1.6105970630660105</v>
      </c>
      <c r="N540" s="2">
        <v>-0.031351953487433526</v>
      </c>
      <c r="P540" s="2">
        <f t="shared" si="26"/>
        <v>-1.9372357981043864</v>
      </c>
      <c r="R540">
        <v>0.03738574393089283</v>
      </c>
    </row>
    <row r="541" spans="1:18" ht="12.75">
      <c r="A541" s="1">
        <f>DATE(1991,10,1)</f>
        <v>33512</v>
      </c>
      <c r="B541">
        <v>1991</v>
      </c>
      <c r="C541">
        <v>10</v>
      </c>
      <c r="D541">
        <v>5.03</v>
      </c>
      <c r="F541" s="3">
        <f>DATE(1991,10,1)</f>
        <v>33512</v>
      </c>
      <c r="G541">
        <v>137.4</v>
      </c>
      <c r="H541">
        <v>137.2</v>
      </c>
      <c r="I541" s="2">
        <f t="shared" si="24"/>
        <v>1.0014598540145985</v>
      </c>
      <c r="J541" s="2">
        <f t="shared" si="25"/>
        <v>1.4086384494320203</v>
      </c>
      <c r="N541" s="2">
        <v>-0.01701948964615802</v>
      </c>
      <c r="P541" s="2">
        <f t="shared" si="26"/>
        <v>-0.20195861363399015</v>
      </c>
      <c r="R541">
        <v>-0.042449817760551636</v>
      </c>
    </row>
    <row r="542" spans="1:18" ht="12.75">
      <c r="A542" s="1">
        <f>DATE(1991,11,1)</f>
        <v>33543</v>
      </c>
      <c r="B542">
        <v>1991</v>
      </c>
      <c r="C542">
        <v>11</v>
      </c>
      <c r="D542">
        <v>4.6</v>
      </c>
      <c r="F542" s="3">
        <f>DATE(1991,11,1)</f>
        <v>33543</v>
      </c>
      <c r="G542">
        <v>137.8</v>
      </c>
      <c r="H542">
        <v>137.8</v>
      </c>
      <c r="I542" s="2">
        <f t="shared" si="24"/>
        <v>1.0043731778425657</v>
      </c>
      <c r="J542" s="2">
        <f t="shared" si="25"/>
        <v>2.784861249519044</v>
      </c>
      <c r="N542" s="2">
        <v>-0.004938653743030219</v>
      </c>
      <c r="P542" s="2">
        <f t="shared" si="26"/>
        <v>1.3762228000870236</v>
      </c>
      <c r="R542">
        <v>0.005667709540713982</v>
      </c>
    </row>
    <row r="543" spans="1:18" ht="12.75">
      <c r="A543" s="1">
        <f>DATE(1991,12,1)</f>
        <v>33573</v>
      </c>
      <c r="B543">
        <v>1991</v>
      </c>
      <c r="C543">
        <v>12</v>
      </c>
      <c r="D543">
        <v>4.12</v>
      </c>
      <c r="F543" s="3">
        <f>DATE(1991,12,1)</f>
        <v>33573</v>
      </c>
      <c r="G543">
        <v>137.9</v>
      </c>
      <c r="H543">
        <v>138.2</v>
      </c>
      <c r="I543" s="2">
        <f t="shared" si="24"/>
        <v>1.0029027576197387</v>
      </c>
      <c r="J543" s="2">
        <f t="shared" si="25"/>
        <v>-1.1918233768497988</v>
      </c>
      <c r="N543" s="2">
        <v>-0.011207772204866752</v>
      </c>
      <c r="P543" s="2">
        <f t="shared" si="26"/>
        <v>-3.9766846263688427</v>
      </c>
      <c r="R543">
        <v>0.013189268840325253</v>
      </c>
    </row>
    <row r="544" spans="1:18" ht="12.75">
      <c r="A544" s="1">
        <f>DATE(1992,1,1)</f>
        <v>33604</v>
      </c>
      <c r="B544">
        <v>1992</v>
      </c>
      <c r="C544">
        <v>1</v>
      </c>
      <c r="D544">
        <v>3.84</v>
      </c>
      <c r="F544" s="3">
        <f>DATE(1992,1,1)</f>
        <v>33604</v>
      </c>
      <c r="G544">
        <v>138.1</v>
      </c>
      <c r="H544">
        <v>138.3</v>
      </c>
      <c r="I544" s="2">
        <f t="shared" si="24"/>
        <v>1.0007235890014474</v>
      </c>
      <c r="J544" s="2">
        <f t="shared" si="25"/>
        <v>0.29026384403401106</v>
      </c>
      <c r="N544" s="2">
        <v>-0.0033767067563781764</v>
      </c>
      <c r="P544" s="2">
        <f t="shared" si="26"/>
        <v>1.4820872208838098</v>
      </c>
      <c r="R544">
        <v>-0.012046279372623297</v>
      </c>
    </row>
    <row r="545" spans="1:18" ht="12.75">
      <c r="A545" s="1">
        <f>DATE(1992,2,1)</f>
        <v>33635</v>
      </c>
      <c r="B545">
        <v>1992</v>
      </c>
      <c r="C545">
        <v>2</v>
      </c>
      <c r="D545">
        <v>3.84</v>
      </c>
      <c r="F545" s="3">
        <f>DATE(1992,2,1)</f>
        <v>33635</v>
      </c>
      <c r="G545">
        <v>138.6</v>
      </c>
      <c r="H545">
        <v>138.6</v>
      </c>
      <c r="I545" s="2">
        <f t="shared" si="24"/>
        <v>1.002169197396963</v>
      </c>
      <c r="J545" s="2">
        <f t="shared" si="25"/>
        <v>2.942576691008547</v>
      </c>
      <c r="N545" s="2">
        <v>0.0001795589059795279</v>
      </c>
      <c r="P545" s="2">
        <f t="shared" si="26"/>
        <v>2.652312846974536</v>
      </c>
      <c r="R545">
        <v>0.005524543379361522</v>
      </c>
    </row>
    <row r="546" spans="1:18" ht="12.75">
      <c r="A546" s="1">
        <f>DATE(1992,3,1)</f>
        <v>33664</v>
      </c>
      <c r="B546">
        <v>1992</v>
      </c>
      <c r="C546">
        <v>3</v>
      </c>
      <c r="D546">
        <v>4.05</v>
      </c>
      <c r="F546" s="3">
        <f>DATE(1992,3,1)</f>
        <v>33664</v>
      </c>
      <c r="G546">
        <v>139.3</v>
      </c>
      <c r="H546">
        <v>139.1</v>
      </c>
      <c r="I546" s="2">
        <f t="shared" si="24"/>
        <v>1.0036075036075036</v>
      </c>
      <c r="J546" s="2">
        <f t="shared" si="25"/>
        <v>1.3793453685778</v>
      </c>
      <c r="N546" s="2">
        <v>0.004434746910772655</v>
      </c>
      <c r="P546" s="2">
        <f t="shared" si="26"/>
        <v>-1.563231322430747</v>
      </c>
      <c r="R546">
        <v>-0.0016142828881432253</v>
      </c>
    </row>
    <row r="547" spans="1:18" ht="12.75">
      <c r="A547" s="1">
        <f>DATE(1992,4,1)</f>
        <v>33695</v>
      </c>
      <c r="B547">
        <v>1992</v>
      </c>
      <c r="C547">
        <v>4</v>
      </c>
      <c r="D547">
        <v>3.81</v>
      </c>
      <c r="F547" s="3">
        <f>DATE(1992,4,1)</f>
        <v>33695</v>
      </c>
      <c r="G547">
        <v>139.5</v>
      </c>
      <c r="H547">
        <v>139.4</v>
      </c>
      <c r="I547" s="2">
        <f t="shared" si="24"/>
        <v>1.0021567217828902</v>
      </c>
      <c r="J547" s="2">
        <f t="shared" si="25"/>
        <v>-0.580312331864008</v>
      </c>
      <c r="N547" s="2">
        <v>0.005222188920626424</v>
      </c>
      <c r="P547" s="2">
        <f t="shared" si="26"/>
        <v>-1.959657700441808</v>
      </c>
      <c r="R547">
        <v>0.00200018021818873</v>
      </c>
    </row>
    <row r="548" spans="1:18" ht="12.75">
      <c r="A548" s="1">
        <f>DATE(1992,5,1)</f>
        <v>33725</v>
      </c>
      <c r="B548">
        <v>1992</v>
      </c>
      <c r="C548">
        <v>5</v>
      </c>
      <c r="D548">
        <v>3.66</v>
      </c>
      <c r="F548" s="3">
        <f>DATE(1992,5,1)</f>
        <v>33725</v>
      </c>
      <c r="G548">
        <v>139.7</v>
      </c>
      <c r="H548">
        <v>139.7</v>
      </c>
      <c r="I548" s="2">
        <f t="shared" si="24"/>
        <v>1.0021520803443327</v>
      </c>
      <c r="J548" s="2">
        <f t="shared" si="25"/>
        <v>1.0144443515236468</v>
      </c>
      <c r="N548" s="2">
        <v>0.010288223680419841</v>
      </c>
      <c r="P548" s="2">
        <f t="shared" si="26"/>
        <v>1.5947566833876547</v>
      </c>
      <c r="R548">
        <v>-0.003412775409086413</v>
      </c>
    </row>
    <row r="549" spans="1:18" ht="12.75">
      <c r="A549" s="1">
        <f>DATE(1992,6,1)</f>
        <v>33756</v>
      </c>
      <c r="B549">
        <v>1992</v>
      </c>
      <c r="C549">
        <v>6</v>
      </c>
      <c r="D549">
        <v>3.7</v>
      </c>
      <c r="F549" s="3">
        <f>DATE(1992,6,1)</f>
        <v>33756</v>
      </c>
      <c r="G549">
        <v>140.2</v>
      </c>
      <c r="H549">
        <v>140.1</v>
      </c>
      <c r="I549" s="2">
        <f t="shared" si="24"/>
        <v>1.0028632784538296</v>
      </c>
      <c r="J549" s="2">
        <f t="shared" si="25"/>
        <v>1.0590399480829626</v>
      </c>
      <c r="N549" s="2">
        <v>0.009623180515511087</v>
      </c>
      <c r="P549" s="2">
        <f t="shared" si="26"/>
        <v>0.044595596559315887</v>
      </c>
      <c r="R549">
        <v>0.007108067402689155</v>
      </c>
    </row>
    <row r="550" spans="1:18" ht="12.75">
      <c r="A550" s="1">
        <f>DATE(1992,7,1)</f>
        <v>33786</v>
      </c>
      <c r="B550">
        <v>1992</v>
      </c>
      <c r="C550">
        <v>7</v>
      </c>
      <c r="D550">
        <v>3.28</v>
      </c>
      <c r="F550" s="3">
        <f>DATE(1992,7,1)</f>
        <v>33786</v>
      </c>
      <c r="G550">
        <v>140.5</v>
      </c>
      <c r="H550">
        <v>140.5</v>
      </c>
      <c r="I550" s="2">
        <f t="shared" si="24"/>
        <v>1.0028551034975017</v>
      </c>
      <c r="J550" s="2">
        <f t="shared" si="25"/>
        <v>-0.20346117758921478</v>
      </c>
      <c r="N550" s="2">
        <v>-0.012276058867154766</v>
      </c>
      <c r="P550" s="2">
        <f t="shared" si="26"/>
        <v>-1.2625011256721774</v>
      </c>
      <c r="R550">
        <v>0.020269952380747892</v>
      </c>
    </row>
    <row r="551" spans="1:18" ht="12.75">
      <c r="A551" s="1">
        <f>DATE(1992,8,1)</f>
        <v>33817</v>
      </c>
      <c r="B551">
        <v>1992</v>
      </c>
      <c r="C551">
        <v>8</v>
      </c>
      <c r="D551">
        <v>3.14</v>
      </c>
      <c r="F551" s="3">
        <f>DATE(1992,8,1)</f>
        <v>33817</v>
      </c>
      <c r="G551">
        <v>140.9</v>
      </c>
      <c r="H551">
        <v>140.8</v>
      </c>
      <c r="I551" s="2">
        <f t="shared" si="24"/>
        <v>1.002135231316726</v>
      </c>
      <c r="J551" s="2">
        <f t="shared" si="25"/>
        <v>-0.32898989191991745</v>
      </c>
      <c r="N551" s="2">
        <v>-0.00799875926393853</v>
      </c>
      <c r="P551" s="2">
        <f t="shared" si="26"/>
        <v>-0.12552871433070267</v>
      </c>
      <c r="R551">
        <v>-0.02749859580074617</v>
      </c>
    </row>
    <row r="552" spans="1:18" ht="12.75">
      <c r="A552" s="1">
        <f>DATE(1992,9,1)</f>
        <v>33848</v>
      </c>
      <c r="B552">
        <v>1992</v>
      </c>
      <c r="C552">
        <v>9</v>
      </c>
      <c r="D552">
        <v>2.97</v>
      </c>
      <c r="F552" s="3">
        <f>DATE(1992,9,1)</f>
        <v>33848</v>
      </c>
      <c r="G552">
        <v>141.3</v>
      </c>
      <c r="H552">
        <v>141.1</v>
      </c>
      <c r="I552" s="2">
        <f t="shared" si="24"/>
        <v>1.0021306818181817</v>
      </c>
      <c r="J552" s="2">
        <f t="shared" si="25"/>
        <v>0.3678788471222383</v>
      </c>
      <c r="N552" s="2">
        <v>0.005092892770171646</v>
      </c>
      <c r="P552" s="2">
        <f t="shared" si="26"/>
        <v>0.6968687390421557</v>
      </c>
      <c r="R552">
        <v>-0.0075958390860849725</v>
      </c>
    </row>
    <row r="553" spans="1:18" ht="12.75">
      <c r="A553" s="1">
        <f>DATE(1992,10,1)</f>
        <v>33878</v>
      </c>
      <c r="B553">
        <v>1992</v>
      </c>
      <c r="C553">
        <v>10</v>
      </c>
      <c r="D553">
        <v>2.84</v>
      </c>
      <c r="F553" s="3">
        <f>DATE(1992,10,1)</f>
        <v>33878</v>
      </c>
      <c r="G553">
        <v>141.8</v>
      </c>
      <c r="H553">
        <v>141.7</v>
      </c>
      <c r="I553" s="2">
        <f t="shared" si="24"/>
        <v>1.004252303330971</v>
      </c>
      <c r="J553" s="2">
        <f t="shared" si="25"/>
        <v>0.24662509976691727</v>
      </c>
      <c r="N553" s="2">
        <v>-0.0017282512605252182</v>
      </c>
      <c r="P553" s="2">
        <f t="shared" si="26"/>
        <v>-0.12125374735532102</v>
      </c>
      <c r="R553">
        <v>0.01865213123239966</v>
      </c>
    </row>
    <row r="554" spans="1:18" ht="12.75">
      <c r="A554" s="1">
        <f>DATE(1992,11,1)</f>
        <v>33909</v>
      </c>
      <c r="B554">
        <v>1992</v>
      </c>
      <c r="C554">
        <v>11</v>
      </c>
      <c r="D554">
        <v>3.14</v>
      </c>
      <c r="F554" s="3">
        <f>DATE(1992,11,1)</f>
        <v>33909</v>
      </c>
      <c r="G554">
        <v>142</v>
      </c>
      <c r="H554">
        <v>142.1</v>
      </c>
      <c r="I554" s="2">
        <f t="shared" si="24"/>
        <v>1.0028228652081863</v>
      </c>
      <c r="J554" s="2">
        <f t="shared" si="25"/>
        <v>-1.980363154898157</v>
      </c>
      <c r="N554" s="2">
        <v>-0.004915392313465584</v>
      </c>
      <c r="P554" s="2">
        <f t="shared" si="26"/>
        <v>-2.2269882546650743</v>
      </c>
      <c r="R554">
        <v>-0.005221591414776193</v>
      </c>
    </row>
    <row r="555" spans="1:18" ht="12.75">
      <c r="A555" s="1">
        <f>DATE(1992,12,1)</f>
        <v>33939</v>
      </c>
      <c r="B555">
        <v>1992</v>
      </c>
      <c r="C555">
        <v>12</v>
      </c>
      <c r="D555">
        <v>3.25</v>
      </c>
      <c r="F555" s="3">
        <f>DATE(1992,12,1)</f>
        <v>33939</v>
      </c>
      <c r="G555">
        <v>141.9</v>
      </c>
      <c r="H555">
        <v>142.3</v>
      </c>
      <c r="I555" s="2">
        <f t="shared" si="24"/>
        <v>1.0014074595355384</v>
      </c>
      <c r="J555" s="2">
        <f t="shared" si="25"/>
        <v>-0.18419166097149997</v>
      </c>
      <c r="N555" s="2">
        <v>0.012227626164063699</v>
      </c>
      <c r="P555" s="2">
        <f t="shared" si="26"/>
        <v>1.796171493926657</v>
      </c>
      <c r="R555">
        <v>-0.01908686915038943</v>
      </c>
    </row>
    <row r="556" spans="1:18" ht="12.75">
      <c r="A556" s="1">
        <f>DATE(1993,1,1)</f>
        <v>33970</v>
      </c>
      <c r="B556">
        <v>1993</v>
      </c>
      <c r="C556">
        <v>1</v>
      </c>
      <c r="D556">
        <v>3.06</v>
      </c>
      <c r="F556" s="3">
        <f>DATE(1993,1,1)</f>
        <v>33970</v>
      </c>
      <c r="G556">
        <v>142.6</v>
      </c>
      <c r="H556">
        <v>142.8</v>
      </c>
      <c r="I556" s="2">
        <f t="shared" si="24"/>
        <v>1.0035137034434294</v>
      </c>
      <c r="J556" s="2">
        <f t="shared" si="25"/>
        <v>1.3351867621761437</v>
      </c>
      <c r="N556" s="2">
        <v>0.0012687839960592536</v>
      </c>
      <c r="P556" s="2">
        <f t="shared" si="26"/>
        <v>1.5193784231476437</v>
      </c>
      <c r="R556">
        <v>0.02971181716189996</v>
      </c>
    </row>
    <row r="557" spans="1:18" ht="12.75">
      <c r="A557" s="1">
        <f>DATE(1993,2,1)</f>
        <v>34001</v>
      </c>
      <c r="B557">
        <v>1993</v>
      </c>
      <c r="C557">
        <v>2</v>
      </c>
      <c r="D557">
        <v>2.95</v>
      </c>
      <c r="F557" s="3">
        <f>DATE(1993,2,1)</f>
        <v>34001</v>
      </c>
      <c r="G557">
        <v>143.1</v>
      </c>
      <c r="H557">
        <v>143.1</v>
      </c>
      <c r="I557" s="2">
        <f t="shared" si="24"/>
        <v>1.0021008403361342</v>
      </c>
      <c r="J557" s="2">
        <f t="shared" si="25"/>
        <v>-1.2932931744307652</v>
      </c>
      <c r="N557" s="2">
        <v>-0.014842688169890067</v>
      </c>
      <c r="P557" s="2">
        <f t="shared" si="26"/>
        <v>-2.628479936606909</v>
      </c>
      <c r="R557">
        <v>0.004117154405638408</v>
      </c>
    </row>
    <row r="558" spans="1:18" ht="12.75">
      <c r="A558" s="1">
        <f>DATE(1993,3,1)</f>
        <v>34029</v>
      </c>
      <c r="B558">
        <v>1993</v>
      </c>
      <c r="C558">
        <v>3</v>
      </c>
      <c r="D558">
        <v>2.97</v>
      </c>
      <c r="F558" s="3">
        <f>DATE(1993,3,1)</f>
        <v>34029</v>
      </c>
      <c r="G558">
        <v>143.6</v>
      </c>
      <c r="H558">
        <v>143.3</v>
      </c>
      <c r="I558" s="2">
        <f t="shared" si="24"/>
        <v>1.0013976240391336</v>
      </c>
      <c r="J558" s="2">
        <f t="shared" si="25"/>
        <v>0.4092208108063211</v>
      </c>
      <c r="N558" s="2">
        <v>0.002794800839519365</v>
      </c>
      <c r="P558" s="2">
        <f t="shared" si="26"/>
        <v>1.7025139852370863</v>
      </c>
      <c r="R558">
        <v>-0.03272245047692889</v>
      </c>
    </row>
    <row r="559" spans="1:18" ht="12.75">
      <c r="A559" s="1">
        <f>DATE(1993,4,1)</f>
        <v>34060</v>
      </c>
      <c r="B559">
        <v>1993</v>
      </c>
      <c r="C559">
        <v>4</v>
      </c>
      <c r="D559">
        <v>2.89</v>
      </c>
      <c r="F559" s="3">
        <f>DATE(1993,4,1)</f>
        <v>34060</v>
      </c>
      <c r="G559">
        <v>144</v>
      </c>
      <c r="H559">
        <v>143.8</v>
      </c>
      <c r="I559" s="2">
        <f t="shared" si="24"/>
        <v>1.0034891835310538</v>
      </c>
      <c r="J559" s="2">
        <f t="shared" si="25"/>
        <v>1.1799563168877647</v>
      </c>
      <c r="N559" s="2">
        <v>-0.011533532905734707</v>
      </c>
      <c r="P559" s="2">
        <f t="shared" si="26"/>
        <v>0.7707355060814436</v>
      </c>
      <c r="R559">
        <v>0.03207305322110826</v>
      </c>
    </row>
    <row r="560" spans="1:18" ht="12.75">
      <c r="A560" s="1">
        <f>DATE(1993,5,1)</f>
        <v>34090</v>
      </c>
      <c r="B560">
        <v>1993</v>
      </c>
      <c r="C560">
        <v>5</v>
      </c>
      <c r="D560">
        <v>2.96</v>
      </c>
      <c r="F560" s="3">
        <f>DATE(1993,5,1)</f>
        <v>34090</v>
      </c>
      <c r="G560">
        <v>144.2</v>
      </c>
      <c r="H560">
        <v>144.2</v>
      </c>
      <c r="I560" s="2">
        <f t="shared" si="24"/>
        <v>1.002781641168289</v>
      </c>
      <c r="J560" s="2">
        <f t="shared" si="25"/>
        <v>-1.2547562707652338</v>
      </c>
      <c r="N560" s="2">
        <v>-0.03707103252471499</v>
      </c>
      <c r="P560" s="2">
        <f t="shared" si="26"/>
        <v>-2.4347125876529985</v>
      </c>
      <c r="R560">
        <v>0.00941884782830225</v>
      </c>
    </row>
    <row r="561" spans="1:18" ht="12.75">
      <c r="A561" s="1">
        <f>DATE(1993,6,1)</f>
        <v>34121</v>
      </c>
      <c r="B561">
        <v>1993</v>
      </c>
      <c r="C561">
        <v>6</v>
      </c>
      <c r="D561">
        <v>3.1</v>
      </c>
      <c r="F561" s="3">
        <f>DATE(1993,6,1)</f>
        <v>34121</v>
      </c>
      <c r="G561">
        <v>144.4</v>
      </c>
      <c r="H561">
        <v>144.3</v>
      </c>
      <c r="I561" s="2">
        <f t="shared" si="24"/>
        <v>1.0006934812760058</v>
      </c>
      <c r="J561" s="2">
        <f t="shared" si="25"/>
        <v>-0.28002217765261683</v>
      </c>
      <c r="N561" s="2">
        <v>-0.03430822155234321</v>
      </c>
      <c r="P561" s="2">
        <f t="shared" si="26"/>
        <v>0.9747340931126169</v>
      </c>
      <c r="R561">
        <v>-0.02710671220802191</v>
      </c>
    </row>
    <row r="562" spans="1:18" ht="12.75">
      <c r="A562" s="1">
        <f>DATE(1993,7,1)</f>
        <v>34151</v>
      </c>
      <c r="B562">
        <v>1993</v>
      </c>
      <c r="C562">
        <v>7</v>
      </c>
      <c r="D562">
        <v>3.05</v>
      </c>
      <c r="F562" s="3">
        <f>DATE(1993,7,1)</f>
        <v>34151</v>
      </c>
      <c r="G562">
        <v>144.4</v>
      </c>
      <c r="H562">
        <v>144.5</v>
      </c>
      <c r="I562" s="2">
        <f t="shared" si="24"/>
        <v>1.0013860013860012</v>
      </c>
      <c r="J562" s="2">
        <f t="shared" si="25"/>
        <v>2.1962941336271857</v>
      </c>
      <c r="N562" s="2">
        <v>-0.030392435056938647</v>
      </c>
      <c r="P562" s="2">
        <f t="shared" si="26"/>
        <v>2.4763163112798026</v>
      </c>
      <c r="R562">
        <v>0.0013753652567609026</v>
      </c>
    </row>
    <row r="563" spans="1:18" ht="12.75">
      <c r="A563" s="1">
        <f>DATE(1993,8,1)</f>
        <v>34182</v>
      </c>
      <c r="B563">
        <v>1993</v>
      </c>
      <c r="C563">
        <v>8</v>
      </c>
      <c r="D563">
        <v>3.05</v>
      </c>
      <c r="F563" s="3">
        <f>DATE(1993,8,1)</f>
        <v>34182</v>
      </c>
      <c r="G563">
        <v>144.8</v>
      </c>
      <c r="H563">
        <v>144.8</v>
      </c>
      <c r="I563" s="2">
        <f t="shared" si="24"/>
        <v>1.002076124567474</v>
      </c>
      <c r="J563" s="2">
        <f t="shared" si="25"/>
        <v>1.351412136264618</v>
      </c>
      <c r="N563" s="2">
        <v>-0.029973151159958324</v>
      </c>
      <c r="P563" s="2">
        <f t="shared" si="26"/>
        <v>-0.8448819973625676</v>
      </c>
      <c r="R563">
        <v>0.002130457265343025</v>
      </c>
    </row>
    <row r="564" spans="1:18" ht="12.75">
      <c r="A564" s="1">
        <f>DATE(1993,9,1)</f>
        <v>34213</v>
      </c>
      <c r="B564">
        <v>1993</v>
      </c>
      <c r="C564">
        <v>9</v>
      </c>
      <c r="D564">
        <v>2.96</v>
      </c>
      <c r="F564" s="3">
        <f>DATE(1993,9,1)</f>
        <v>34213</v>
      </c>
      <c r="G564">
        <v>145.1</v>
      </c>
      <c r="H564">
        <v>145</v>
      </c>
      <c r="I564" s="2">
        <f t="shared" si="24"/>
        <v>1.0013812154696131</v>
      </c>
      <c r="J564" s="2">
        <f t="shared" si="25"/>
        <v>0.429189241229988</v>
      </c>
      <c r="N564" s="2">
        <v>-0.018874110254217247</v>
      </c>
      <c r="P564" s="2">
        <f t="shared" si="26"/>
        <v>-0.9222228950346301</v>
      </c>
      <c r="R564">
        <v>-0.013701706845262424</v>
      </c>
    </row>
    <row r="565" spans="1:18" ht="12.75">
      <c r="A565" s="1">
        <f>DATE(1993,10,1)</f>
        <v>34243</v>
      </c>
      <c r="B565">
        <v>1993</v>
      </c>
      <c r="C565">
        <v>10</v>
      </c>
      <c r="D565">
        <v>3.04</v>
      </c>
      <c r="F565" s="3">
        <f>DATE(1993,10,1)</f>
        <v>34243</v>
      </c>
      <c r="G565">
        <v>145.7</v>
      </c>
      <c r="H565">
        <v>145.6</v>
      </c>
      <c r="I565" s="2">
        <f t="shared" si="24"/>
        <v>1.0041379310344827</v>
      </c>
      <c r="J565" s="2">
        <f t="shared" si="25"/>
        <v>1.3473892404517018</v>
      </c>
      <c r="N565" s="2">
        <v>-0.02248561679493</v>
      </c>
      <c r="P565" s="2">
        <f t="shared" si="26"/>
        <v>0.9181999992217138</v>
      </c>
      <c r="R565">
        <v>0.01829297732224099</v>
      </c>
    </row>
    <row r="566" spans="1:18" ht="12.75">
      <c r="A566" s="1">
        <f>DATE(1993,11,1)</f>
        <v>34274</v>
      </c>
      <c r="B566">
        <v>1993</v>
      </c>
      <c r="C566">
        <v>11</v>
      </c>
      <c r="D566">
        <v>3.12</v>
      </c>
      <c r="F566" s="3">
        <f>DATE(1993,11,1)</f>
        <v>34274</v>
      </c>
      <c r="G566">
        <v>145.8</v>
      </c>
      <c r="H566">
        <v>146</v>
      </c>
      <c r="I566" s="2">
        <f t="shared" si="24"/>
        <v>1.0027472527472527</v>
      </c>
      <c r="J566" s="2">
        <f t="shared" si="25"/>
        <v>-1.8653378989536673</v>
      </c>
      <c r="N566" s="2">
        <v>-0.026233339090624065</v>
      </c>
      <c r="P566" s="2">
        <f t="shared" si="26"/>
        <v>-3.212727139405369</v>
      </c>
      <c r="R566">
        <v>-0.0031208772070076655</v>
      </c>
    </row>
    <row r="567" spans="1:18" ht="12.75">
      <c r="A567" s="1">
        <f>DATE(1993,12,1)</f>
        <v>34304</v>
      </c>
      <c r="B567">
        <v>1993</v>
      </c>
      <c r="C567">
        <v>12</v>
      </c>
      <c r="D567">
        <v>3.08</v>
      </c>
      <c r="F567" s="3">
        <f>DATE(1993,12,1)</f>
        <v>34304</v>
      </c>
      <c r="G567">
        <v>145.8</v>
      </c>
      <c r="H567">
        <v>146.3</v>
      </c>
      <c r="I567" s="2">
        <f t="shared" si="24"/>
        <v>1.002054794520548</v>
      </c>
      <c r="J567" s="2">
        <f t="shared" si="25"/>
        <v>-0.25832891040575845</v>
      </c>
      <c r="N567" s="2">
        <v>-0.04393931847536008</v>
      </c>
      <c r="P567" s="2">
        <f t="shared" si="26"/>
        <v>1.6070089885479089</v>
      </c>
      <c r="R567">
        <v>0.01611136065016421</v>
      </c>
    </row>
    <row r="568" spans="1:18" ht="12.75">
      <c r="A568" s="1">
        <f>DATE(1994,1,1)</f>
        <v>34335</v>
      </c>
      <c r="B568">
        <v>1994</v>
      </c>
      <c r="C568">
        <v>1</v>
      </c>
      <c r="D568">
        <v>3.02</v>
      </c>
      <c r="F568" s="3">
        <f>DATE(1994,1,1)</f>
        <v>34335</v>
      </c>
      <c r="G568">
        <v>146.2</v>
      </c>
      <c r="H568">
        <v>146.3</v>
      </c>
      <c r="I568" s="2">
        <f t="shared" si="24"/>
        <v>1</v>
      </c>
      <c r="J568" s="2">
        <f t="shared" si="25"/>
        <v>0.5133855642833307</v>
      </c>
      <c r="N568" s="2">
        <v>-0.040382800058405895</v>
      </c>
      <c r="P568" s="2">
        <f t="shared" si="26"/>
        <v>0.7717144746890892</v>
      </c>
      <c r="R568">
        <v>-0.0219727530467222</v>
      </c>
    </row>
    <row r="569" spans="1:18" ht="12.75">
      <c r="A569" s="1">
        <f>DATE(1994,2,1)</f>
        <v>34366</v>
      </c>
      <c r="B569">
        <v>1994</v>
      </c>
      <c r="C569">
        <v>2</v>
      </c>
      <c r="D569">
        <v>3.21</v>
      </c>
      <c r="F569" s="3">
        <f>DATE(1994,2,1)</f>
        <v>34366</v>
      </c>
      <c r="G569">
        <v>146.7</v>
      </c>
      <c r="H569">
        <v>146.7</v>
      </c>
      <c r="I569" s="2">
        <f t="shared" si="24"/>
        <v>1.0027341079972658</v>
      </c>
      <c r="J569" s="2">
        <f t="shared" si="25"/>
        <v>3.2100000000000017</v>
      </c>
      <c r="N569" s="2">
        <v>-0.03602344331225855</v>
      </c>
      <c r="P569" s="2">
        <f t="shared" si="26"/>
        <v>2.696614435716671</v>
      </c>
      <c r="R569">
        <v>0.002314430728917676</v>
      </c>
    </row>
    <row r="570" spans="1:18" ht="12.75">
      <c r="A570" s="1">
        <f>DATE(1994,3,1)</f>
        <v>34394</v>
      </c>
      <c r="B570">
        <v>1994</v>
      </c>
      <c r="C570">
        <v>3</v>
      </c>
      <c r="D570">
        <v>3.52</v>
      </c>
      <c r="F570" s="3">
        <f>DATE(1994,3,1)</f>
        <v>34394</v>
      </c>
      <c r="G570">
        <v>147.2</v>
      </c>
      <c r="H570">
        <v>147.1</v>
      </c>
      <c r="I570" s="2">
        <f t="shared" si="24"/>
        <v>1.0027266530334016</v>
      </c>
      <c r="J570" s="2">
        <f t="shared" si="25"/>
        <v>0.18317949806014866</v>
      </c>
      <c r="N570" s="2">
        <v>-0.05915538158011018</v>
      </c>
      <c r="P570" s="2">
        <f t="shared" si="26"/>
        <v>-3.026820501939853</v>
      </c>
      <c r="R570">
        <v>0.02491485850366937</v>
      </c>
    </row>
    <row r="571" spans="1:18" ht="12.75">
      <c r="A571" s="1">
        <f>DATE(1994,4,1)</f>
        <v>34425</v>
      </c>
      <c r="B571">
        <v>1994</v>
      </c>
      <c r="C571">
        <v>4</v>
      </c>
      <c r="D571">
        <v>3.74</v>
      </c>
      <c r="F571" s="3">
        <f>DATE(1994,4,1)</f>
        <v>34425</v>
      </c>
      <c r="G571">
        <v>147.4</v>
      </c>
      <c r="H571">
        <v>147.2</v>
      </c>
      <c r="I571" s="2">
        <f t="shared" si="24"/>
        <v>1.000679809653297</v>
      </c>
      <c r="J571" s="2">
        <f t="shared" si="25"/>
        <v>0.4050454440523765</v>
      </c>
      <c r="N571" s="2">
        <v>-0.060191362937321996</v>
      </c>
      <c r="P571" s="2">
        <f t="shared" si="26"/>
        <v>0.22186594599222786</v>
      </c>
      <c r="R571">
        <v>-0.02211489941430557</v>
      </c>
    </row>
    <row r="572" spans="1:18" ht="12.75">
      <c r="A572" s="1">
        <f>DATE(1994,5,1)</f>
        <v>34455</v>
      </c>
      <c r="B572">
        <v>1994</v>
      </c>
      <c r="C572">
        <v>5</v>
      </c>
      <c r="D572">
        <v>4.19</v>
      </c>
      <c r="F572" s="3">
        <f>DATE(1994,5,1)</f>
        <v>34455</v>
      </c>
      <c r="G572">
        <v>147.5</v>
      </c>
      <c r="H572">
        <v>147.5</v>
      </c>
      <c r="I572" s="2">
        <f t="shared" si="24"/>
        <v>1.002038043478261</v>
      </c>
      <c r="J572" s="2">
        <f t="shared" si="25"/>
        <v>3.343791440172006</v>
      </c>
      <c r="N572" s="2">
        <v>-0.04703287358710153</v>
      </c>
      <c r="P572" s="2">
        <f t="shared" si="26"/>
        <v>2.9387459961196294</v>
      </c>
      <c r="R572">
        <v>-0.012275942892934261</v>
      </c>
    </row>
    <row r="573" spans="1:18" ht="12.75">
      <c r="A573" s="1">
        <f>DATE(1994,6,1)</f>
        <v>34486</v>
      </c>
      <c r="B573">
        <v>1994</v>
      </c>
      <c r="C573">
        <v>6</v>
      </c>
      <c r="D573">
        <v>4.18</v>
      </c>
      <c r="F573" s="3">
        <f>DATE(1994,6,1)</f>
        <v>34486</v>
      </c>
      <c r="G573">
        <v>148</v>
      </c>
      <c r="H573">
        <v>147.9</v>
      </c>
      <c r="I573" s="2">
        <f t="shared" si="24"/>
        <v>1.0027118644067796</v>
      </c>
      <c r="J573" s="2">
        <f t="shared" si="25"/>
        <v>1.6655534793445614</v>
      </c>
      <c r="N573" s="2">
        <v>-0.04280892770964994</v>
      </c>
      <c r="P573" s="2">
        <f t="shared" si="26"/>
        <v>-1.6782379608274445</v>
      </c>
      <c r="R573">
        <v>0.006531679246055153</v>
      </c>
    </row>
    <row r="574" spans="1:18" ht="12.75">
      <c r="A574" s="1">
        <f>DATE(1994,7,1)</f>
        <v>34516</v>
      </c>
      <c r="B574">
        <v>1994</v>
      </c>
      <c r="C574">
        <v>7</v>
      </c>
      <c r="D574">
        <v>4.39</v>
      </c>
      <c r="F574" s="3">
        <f>DATE(1994,7,1)</f>
        <v>34516</v>
      </c>
      <c r="G574">
        <v>148.4</v>
      </c>
      <c r="H574">
        <v>148.4</v>
      </c>
      <c r="I574" s="2">
        <f t="shared" si="24"/>
        <v>1.0033806626098716</v>
      </c>
      <c r="J574" s="2">
        <f t="shared" si="25"/>
        <v>1.0520325732884972</v>
      </c>
      <c r="N574" s="2">
        <v>-0.037993177545268264</v>
      </c>
      <c r="P574" s="2">
        <f t="shared" si="26"/>
        <v>-0.6135209060560642</v>
      </c>
      <c r="R574">
        <v>-0.0014655707552315384</v>
      </c>
    </row>
    <row r="575" spans="1:18" ht="12.75">
      <c r="A575" s="1">
        <f>DATE(1994,8,1)</f>
        <v>34547</v>
      </c>
      <c r="B575">
        <v>1994</v>
      </c>
      <c r="C575">
        <v>8</v>
      </c>
      <c r="D575">
        <v>4.5</v>
      </c>
      <c r="F575" s="3">
        <f>DATE(1994,8,1)</f>
        <v>34547</v>
      </c>
      <c r="G575">
        <v>149</v>
      </c>
      <c r="H575">
        <v>149</v>
      </c>
      <c r="I575" s="2">
        <f t="shared" si="24"/>
        <v>1.0040431266846361</v>
      </c>
      <c r="J575" s="2">
        <f t="shared" si="25"/>
        <v>0.3523546364325947</v>
      </c>
      <c r="N575" s="2">
        <v>-0.04391871619182472</v>
      </c>
      <c r="P575" s="2">
        <f t="shared" si="26"/>
        <v>-0.6996779368559025</v>
      </c>
      <c r="R575">
        <v>0.011686644957115666</v>
      </c>
    </row>
    <row r="576" spans="1:18" ht="12.75">
      <c r="A576" s="1">
        <f>DATE(1994,9,1)</f>
        <v>34578</v>
      </c>
      <c r="B576">
        <v>1994</v>
      </c>
      <c r="C576">
        <v>9</v>
      </c>
      <c r="D576">
        <v>4.64</v>
      </c>
      <c r="F576" s="3">
        <f>DATE(1994,9,1)</f>
        <v>34578</v>
      </c>
      <c r="G576">
        <v>149.4</v>
      </c>
      <c r="H576">
        <v>149.3</v>
      </c>
      <c r="I576" s="2">
        <f t="shared" si="24"/>
        <v>1.002013422818792</v>
      </c>
      <c r="J576" s="2">
        <f t="shared" si="25"/>
        <v>-0.3059311565344336</v>
      </c>
      <c r="N576" s="2">
        <v>-0.042016190642418814</v>
      </c>
      <c r="P576" s="2">
        <f t="shared" si="26"/>
        <v>-0.6582857929670283</v>
      </c>
      <c r="R576">
        <v>-0.009061365988101071</v>
      </c>
    </row>
    <row r="577" spans="1:18" ht="12.75">
      <c r="A577" s="1">
        <f>DATE(1994,10,1)</f>
        <v>34608</v>
      </c>
      <c r="B577">
        <v>1994</v>
      </c>
      <c r="C577">
        <v>10</v>
      </c>
      <c r="D577">
        <v>4.96</v>
      </c>
      <c r="F577" s="3">
        <f>DATE(1994,10,1)</f>
        <v>34608</v>
      </c>
      <c r="G577">
        <v>149.5</v>
      </c>
      <c r="H577">
        <v>149.4</v>
      </c>
      <c r="I577" s="2">
        <f t="shared" si="24"/>
        <v>1.000669792364367</v>
      </c>
      <c r="J577" s="2">
        <f t="shared" si="25"/>
        <v>2.456932750942853</v>
      </c>
      <c r="N577" s="2">
        <v>-0.038730705186921545</v>
      </c>
      <c r="P577" s="2">
        <f t="shared" si="26"/>
        <v>2.7628639074772865</v>
      </c>
      <c r="R577">
        <v>0.0019859248353247356</v>
      </c>
    </row>
    <row r="578" spans="1:18" ht="12.75">
      <c r="A578" s="1">
        <f>DATE(1994,11,1)</f>
        <v>34639</v>
      </c>
      <c r="B578">
        <v>1994</v>
      </c>
      <c r="C578">
        <v>11</v>
      </c>
      <c r="D578">
        <v>5.25</v>
      </c>
      <c r="F578" s="3">
        <f>DATE(1994,11,1)</f>
        <v>34639</v>
      </c>
      <c r="G578">
        <v>149.7</v>
      </c>
      <c r="H578">
        <v>149.8</v>
      </c>
      <c r="I578" s="2">
        <f t="shared" si="24"/>
        <v>1.002677376171352</v>
      </c>
      <c r="J578" s="2">
        <f t="shared" si="25"/>
        <v>4.407723721595569</v>
      </c>
      <c r="N578" s="2">
        <v>-0.033897850433443504</v>
      </c>
      <c r="P578" s="2">
        <f t="shared" si="26"/>
        <v>1.950790970652716</v>
      </c>
      <c r="R578">
        <v>-0.001365384264564859</v>
      </c>
    </row>
    <row r="579" spans="1:18" ht="12.75">
      <c r="A579" s="1">
        <f>DATE(1994,12,1)</f>
        <v>34669</v>
      </c>
      <c r="B579">
        <v>1994</v>
      </c>
      <c r="C579">
        <v>12</v>
      </c>
      <c r="D579">
        <v>5.64</v>
      </c>
      <c r="F579" s="3">
        <f>DATE(1994,12,1)</f>
        <v>34669</v>
      </c>
      <c r="G579">
        <v>149.7</v>
      </c>
      <c r="H579">
        <v>150.1</v>
      </c>
      <c r="I579" s="2">
        <f t="shared" si="24"/>
        <v>1.002002670226969</v>
      </c>
      <c r="J579" s="2">
        <f t="shared" si="25"/>
        <v>2.3042796932445153</v>
      </c>
      <c r="N579" s="2">
        <v>-0.042764875121199905</v>
      </c>
      <c r="P579" s="2">
        <f t="shared" si="26"/>
        <v>-2.1034440283510536</v>
      </c>
      <c r="R579">
        <v>0.01318973656050382</v>
      </c>
    </row>
    <row r="580" spans="1:18" ht="12.75">
      <c r="A580" s="1">
        <f>DATE(1995,1,1)</f>
        <v>34700</v>
      </c>
      <c r="B580">
        <v>1995</v>
      </c>
      <c r="C580">
        <v>1</v>
      </c>
      <c r="D580">
        <v>5.81</v>
      </c>
      <c r="F580" s="3">
        <f>DATE(1995,1,1)</f>
        <v>34700</v>
      </c>
      <c r="G580">
        <v>150.3</v>
      </c>
      <c r="H580">
        <v>150.5</v>
      </c>
      <c r="I580" s="2">
        <f t="shared" si="24"/>
        <v>1.0026648900732844</v>
      </c>
      <c r="J580" s="2">
        <f t="shared" si="25"/>
        <v>3.299963443677134</v>
      </c>
      <c r="N580" s="2">
        <v>-0.03776698635151899</v>
      </c>
      <c r="P580" s="2">
        <f t="shared" si="26"/>
        <v>0.9956837504326188</v>
      </c>
      <c r="R580">
        <v>-0.011725544009933402</v>
      </c>
    </row>
    <row r="581" spans="1:18" ht="12.75">
      <c r="A581" s="1">
        <f>DATE(1995,2,1)</f>
        <v>34731</v>
      </c>
      <c r="B581">
        <v>1995</v>
      </c>
      <c r="C581">
        <v>2</v>
      </c>
      <c r="D581">
        <v>5.8</v>
      </c>
      <c r="F581" s="3">
        <f>DATE(1995,2,1)</f>
        <v>34731</v>
      </c>
      <c r="G581">
        <v>150.9</v>
      </c>
      <c r="H581">
        <v>150.9</v>
      </c>
      <c r="I581" s="2">
        <f t="shared" si="24"/>
        <v>1.00265780730897</v>
      </c>
      <c r="J581" s="2">
        <f t="shared" si="25"/>
        <v>2.4745395234354817</v>
      </c>
      <c r="N581" s="2">
        <v>-0.04118810721628458</v>
      </c>
      <c r="P581" s="2">
        <f t="shared" si="26"/>
        <v>-0.8254239202416525</v>
      </c>
      <c r="R581">
        <v>0.006854115364300463</v>
      </c>
    </row>
    <row r="582" spans="1:18" ht="12.75">
      <c r="A582" s="1">
        <f>DATE(1995,3,1)</f>
        <v>34759</v>
      </c>
      <c r="B582">
        <v>1995</v>
      </c>
      <c r="C582">
        <v>3</v>
      </c>
      <c r="D582">
        <v>5.73</v>
      </c>
      <c r="F582" s="3">
        <f>DATE(1995,3,1)</f>
        <v>34759</v>
      </c>
      <c r="G582">
        <v>151.4</v>
      </c>
      <c r="H582">
        <v>151.2</v>
      </c>
      <c r="I582" s="2">
        <f aca="true" t="shared" si="27" ref="I582:I645">H582/H581</f>
        <v>1.0019880715705765</v>
      </c>
      <c r="J582" s="2">
        <f t="shared" si="25"/>
        <v>2.415420872577223</v>
      </c>
      <c r="N582" s="2">
        <v>-0.04200631397545638</v>
      </c>
      <c r="P582" s="2">
        <f t="shared" si="26"/>
        <v>-0.059118650858258626</v>
      </c>
      <c r="R582">
        <v>-0.0033944814009170344</v>
      </c>
    </row>
    <row r="583" spans="1:18" ht="12.75">
      <c r="A583" s="1">
        <f>DATE(1995,4,1)</f>
        <v>34790</v>
      </c>
      <c r="B583">
        <v>1995</v>
      </c>
      <c r="C583">
        <v>4</v>
      </c>
      <c r="D583">
        <v>5.67</v>
      </c>
      <c r="F583" s="3">
        <f>DATE(1995,4,1)</f>
        <v>34790</v>
      </c>
      <c r="G583">
        <v>151.9</v>
      </c>
      <c r="H583">
        <v>151.8</v>
      </c>
      <c r="I583" s="2">
        <f t="shared" si="27"/>
        <v>1.0039682539682542</v>
      </c>
      <c r="J583" s="2">
        <f aca="true" t="shared" si="28" ref="J583:J645">((1+D583/100)/(I582^12)-1)*100</f>
        <v>3.1813226705124986</v>
      </c>
      <c r="N583" s="2">
        <v>-0.02079664638243421</v>
      </c>
      <c r="P583" s="2">
        <f t="shared" si="26"/>
        <v>0.7659017979352756</v>
      </c>
      <c r="R583">
        <v>-0.02140985732198148</v>
      </c>
    </row>
    <row r="584" spans="1:18" ht="12.75">
      <c r="A584" s="1">
        <f>DATE(1995,5,1)</f>
        <v>34820</v>
      </c>
      <c r="B584">
        <v>1995</v>
      </c>
      <c r="C584">
        <v>5</v>
      </c>
      <c r="D584">
        <v>5.7</v>
      </c>
      <c r="F584" s="3">
        <f>DATE(1995,5,1)</f>
        <v>34820</v>
      </c>
      <c r="G584">
        <v>152.2</v>
      </c>
      <c r="H584">
        <v>152.1</v>
      </c>
      <c r="I584" s="2">
        <f t="shared" si="27"/>
        <v>1.0019762845849802</v>
      </c>
      <c r="J584" s="2">
        <f t="shared" si="28"/>
        <v>0.7941258138601137</v>
      </c>
      <c r="N584" s="2">
        <v>-0.015472069407379874</v>
      </c>
      <c r="P584" s="2">
        <f aca="true" t="shared" si="29" ref="P584:P645">J584-J583</f>
        <v>-2.387196856652385</v>
      </c>
      <c r="R584">
        <v>0.013105565641568184</v>
      </c>
    </row>
    <row r="585" spans="1:18" ht="12.75">
      <c r="A585" s="1">
        <f>DATE(1995,6,1)</f>
        <v>34851</v>
      </c>
      <c r="B585">
        <v>1995</v>
      </c>
      <c r="C585">
        <v>6</v>
      </c>
      <c r="D585">
        <v>5.5</v>
      </c>
      <c r="F585" s="3">
        <f>DATE(1995,6,1)</f>
        <v>34851</v>
      </c>
      <c r="G585">
        <v>152.5</v>
      </c>
      <c r="H585">
        <v>152.4</v>
      </c>
      <c r="I585" s="2">
        <f t="shared" si="27"/>
        <v>1.0019723865877712</v>
      </c>
      <c r="J585" s="2">
        <f t="shared" si="28"/>
        <v>3.0298694934790094</v>
      </c>
      <c r="N585" s="2">
        <v>-0.012380973017026826</v>
      </c>
      <c r="P585" s="2">
        <f t="shared" si="29"/>
        <v>2.2357436796188956</v>
      </c>
      <c r="R585">
        <v>0.004107153059069991</v>
      </c>
    </row>
    <row r="586" spans="1:18" ht="12.75">
      <c r="A586" s="1">
        <f>DATE(1995,7,1)</f>
        <v>34881</v>
      </c>
      <c r="B586">
        <v>1995</v>
      </c>
      <c r="C586">
        <v>7</v>
      </c>
      <c r="D586">
        <v>5.47</v>
      </c>
      <c r="F586" s="3">
        <f>DATE(1995,7,1)</f>
        <v>34881</v>
      </c>
      <c r="G586">
        <v>152.5</v>
      </c>
      <c r="H586">
        <v>152.6</v>
      </c>
      <c r="I586" s="2">
        <f t="shared" si="27"/>
        <v>1.0013123359580052</v>
      </c>
      <c r="J586" s="2">
        <f t="shared" si="28"/>
        <v>3.005380470290575</v>
      </c>
      <c r="N586" s="2">
        <v>-0.0183758720787499</v>
      </c>
      <c r="P586" s="2">
        <f t="shared" si="29"/>
        <v>-0.024489023188434267</v>
      </c>
      <c r="R586">
        <v>0.009698533040297774</v>
      </c>
    </row>
    <row r="587" spans="1:18" ht="12.75">
      <c r="A587" s="1">
        <f>DATE(1995,8,1)</f>
        <v>34912</v>
      </c>
      <c r="B587">
        <v>1995</v>
      </c>
      <c r="C587">
        <v>8</v>
      </c>
      <c r="D587">
        <v>5.41</v>
      </c>
      <c r="F587" s="3">
        <f>DATE(1995,8,1)</f>
        <v>34912</v>
      </c>
      <c r="G587">
        <v>152.9</v>
      </c>
      <c r="H587">
        <v>152.9</v>
      </c>
      <c r="I587" s="2">
        <f t="shared" si="27"/>
        <v>1.0019659239842726</v>
      </c>
      <c r="J587" s="2">
        <f t="shared" si="28"/>
        <v>3.7640738101690108</v>
      </c>
      <c r="N587" s="2">
        <v>-0.019759016541624454</v>
      </c>
      <c r="P587" s="2">
        <f t="shared" si="29"/>
        <v>0.7586933398784357</v>
      </c>
      <c r="R587">
        <v>-0.001928426175277244</v>
      </c>
    </row>
    <row r="588" spans="1:18" ht="12.75">
      <c r="A588" s="1">
        <f>DATE(1995,9,1)</f>
        <v>34943</v>
      </c>
      <c r="B588">
        <v>1995</v>
      </c>
      <c r="C588">
        <v>9</v>
      </c>
      <c r="D588">
        <v>5.26</v>
      </c>
      <c r="F588" s="3">
        <f>DATE(1995,9,1)</f>
        <v>34943</v>
      </c>
      <c r="G588">
        <v>153.2</v>
      </c>
      <c r="H588">
        <v>153.1</v>
      </c>
      <c r="I588" s="2">
        <f t="shared" si="27"/>
        <v>1.001308044473512</v>
      </c>
      <c r="J588" s="2">
        <f t="shared" si="28"/>
        <v>2.8082446735512967</v>
      </c>
      <c r="N588" s="2">
        <v>-0.01529695442744316</v>
      </c>
      <c r="P588" s="2">
        <f t="shared" si="29"/>
        <v>-0.9558291366177141</v>
      </c>
      <c r="R588">
        <v>-0.006844765158729084</v>
      </c>
    </row>
    <row r="589" spans="1:18" ht="12.75">
      <c r="A589" s="1">
        <f>DATE(1995,10,1)</f>
        <v>34973</v>
      </c>
      <c r="B589">
        <v>1995</v>
      </c>
      <c r="C589">
        <v>10</v>
      </c>
      <c r="D589">
        <v>5.3</v>
      </c>
      <c r="F589" s="3">
        <f>DATE(1995,10,1)</f>
        <v>34973</v>
      </c>
      <c r="G589">
        <v>153.7</v>
      </c>
      <c r="H589">
        <v>153.5</v>
      </c>
      <c r="I589" s="2">
        <f t="shared" si="27"/>
        <v>1.0026126714565644</v>
      </c>
      <c r="J589" s="2">
        <f t="shared" si="28"/>
        <v>3.6611226060337065</v>
      </c>
      <c r="N589" s="2">
        <v>-0.024668797684007846</v>
      </c>
      <c r="P589" s="2">
        <f t="shared" si="29"/>
        <v>0.8528779324824098</v>
      </c>
      <c r="R589">
        <v>0.01483641607833847</v>
      </c>
    </row>
    <row r="590" spans="1:18" ht="12.75">
      <c r="A590" s="1">
        <f>DATE(1995,11,1)</f>
        <v>35004</v>
      </c>
      <c r="B590">
        <v>1995</v>
      </c>
      <c r="C590">
        <v>11</v>
      </c>
      <c r="D590">
        <v>5.35</v>
      </c>
      <c r="F590" s="3">
        <f>DATE(1995,11,1)</f>
        <v>35004</v>
      </c>
      <c r="G590">
        <v>153.6</v>
      </c>
      <c r="H590">
        <v>153.7</v>
      </c>
      <c r="I590" s="2">
        <f t="shared" si="27"/>
        <v>1.001302931596091</v>
      </c>
      <c r="J590" s="2">
        <f t="shared" si="28"/>
        <v>2.1024752113280254</v>
      </c>
      <c r="N590" s="2">
        <v>-0.026024692455957538</v>
      </c>
      <c r="P590" s="2">
        <f t="shared" si="29"/>
        <v>-1.5586473947056811</v>
      </c>
      <c r="R590">
        <v>-0.009274568710010813</v>
      </c>
    </row>
    <row r="591" spans="1:18" ht="12.75">
      <c r="A591" s="1">
        <f>DATE(1995,12,1)</f>
        <v>35034</v>
      </c>
      <c r="B591">
        <v>1995</v>
      </c>
      <c r="C591">
        <v>12</v>
      </c>
      <c r="D591">
        <v>5.16</v>
      </c>
      <c r="F591" s="3">
        <f>DATE(1995,12,1)</f>
        <v>35034</v>
      </c>
      <c r="G591">
        <v>153.5</v>
      </c>
      <c r="H591">
        <v>153.9</v>
      </c>
      <c r="I591" s="2">
        <f t="shared" si="27"/>
        <v>1.0013012361743658</v>
      </c>
      <c r="J591" s="2">
        <f t="shared" si="28"/>
        <v>3.529645086938893</v>
      </c>
      <c r="N591" s="2">
        <v>-0.01917984277644725</v>
      </c>
      <c r="P591" s="2">
        <f t="shared" si="29"/>
        <v>1.4271698756108675</v>
      </c>
      <c r="R591">
        <v>-0.010117499074638433</v>
      </c>
    </row>
    <row r="592" spans="1:18" ht="12.75">
      <c r="A592" s="1">
        <f>DATE(1996,1,1)</f>
        <v>35065</v>
      </c>
      <c r="B592">
        <v>1996</v>
      </c>
      <c r="C592">
        <v>1</v>
      </c>
      <c r="D592">
        <v>5.02</v>
      </c>
      <c r="F592" s="3">
        <f>DATE(1996,1,1)</f>
        <v>35065</v>
      </c>
      <c r="G592">
        <v>154.4</v>
      </c>
      <c r="H592">
        <v>154.7</v>
      </c>
      <c r="I592" s="2">
        <f t="shared" si="27"/>
        <v>1.0051981806367771</v>
      </c>
      <c r="J592" s="2">
        <f t="shared" si="28"/>
        <v>3.393916384780926</v>
      </c>
      <c r="N592" s="2">
        <v>-0.025729226753049513</v>
      </c>
      <c r="P592" s="2">
        <f t="shared" si="29"/>
        <v>-0.13572870215796673</v>
      </c>
      <c r="R592">
        <v>0.014193793609844943</v>
      </c>
    </row>
    <row r="593" spans="1:18" ht="12.75">
      <c r="A593" s="1">
        <f>DATE(1996,2,1)</f>
        <v>35096</v>
      </c>
      <c r="B593">
        <v>1996</v>
      </c>
      <c r="C593">
        <v>2</v>
      </c>
      <c r="D593">
        <v>4.87</v>
      </c>
      <c r="F593" s="3">
        <f>DATE(1996,2,1)</f>
        <v>35096</v>
      </c>
      <c r="G593">
        <v>154.9</v>
      </c>
      <c r="H593">
        <v>155</v>
      </c>
      <c r="I593" s="2">
        <f t="shared" si="27"/>
        <v>1.0019392372333549</v>
      </c>
      <c r="J593" s="2">
        <f t="shared" si="28"/>
        <v>-1.4558287213738974</v>
      </c>
      <c r="N593" s="2">
        <v>-0.02240348464386811</v>
      </c>
      <c r="P593" s="2">
        <f t="shared" si="29"/>
        <v>-4.849745106154824</v>
      </c>
      <c r="R593">
        <v>-0.015352859383971969</v>
      </c>
    </row>
    <row r="594" spans="1:18" ht="12.75">
      <c r="A594" s="1">
        <f>DATE(1996,3,1)</f>
        <v>35125</v>
      </c>
      <c r="B594">
        <v>1996</v>
      </c>
      <c r="C594">
        <v>3</v>
      </c>
      <c r="D594">
        <v>4.96</v>
      </c>
      <c r="F594" s="3">
        <f>DATE(1996,3,1)</f>
        <v>35125</v>
      </c>
      <c r="G594">
        <v>155.7</v>
      </c>
      <c r="H594">
        <v>155.5</v>
      </c>
      <c r="I594" s="2">
        <f t="shared" si="27"/>
        <v>1.0032258064516129</v>
      </c>
      <c r="J594" s="2">
        <f t="shared" si="28"/>
        <v>2.548003226824025</v>
      </c>
      <c r="N594" s="2">
        <v>-0.0033721594866729927</v>
      </c>
      <c r="P594" s="2">
        <f t="shared" si="29"/>
        <v>4.003831948197922</v>
      </c>
      <c r="R594">
        <v>-0.010822647852644772</v>
      </c>
    </row>
    <row r="595" spans="1:18" ht="12.75">
      <c r="A595" s="1">
        <f>DATE(1996,4,1)</f>
        <v>35156</v>
      </c>
      <c r="B595">
        <v>1996</v>
      </c>
      <c r="C595">
        <v>4</v>
      </c>
      <c r="D595">
        <v>4.99</v>
      </c>
      <c r="F595" s="3">
        <f>DATE(1996,4,1)</f>
        <v>35156</v>
      </c>
      <c r="G595">
        <v>156.3</v>
      </c>
      <c r="H595">
        <v>156.1</v>
      </c>
      <c r="I595" s="2">
        <f t="shared" si="27"/>
        <v>1.0038585209003215</v>
      </c>
      <c r="J595" s="2">
        <f t="shared" si="28"/>
        <v>1.0098191200652362</v>
      </c>
      <c r="N595" s="2">
        <v>-0.010078806039059997</v>
      </c>
      <c r="P595" s="2">
        <f t="shared" si="29"/>
        <v>-1.5381841067587887</v>
      </c>
      <c r="R595">
        <v>0.024883356807014707</v>
      </c>
    </row>
    <row r="596" spans="1:18" ht="12.75">
      <c r="A596" s="1">
        <f>DATE(1996,5,1)</f>
        <v>35186</v>
      </c>
      <c r="B596">
        <v>1996</v>
      </c>
      <c r="C596">
        <v>5</v>
      </c>
      <c r="D596">
        <v>5.02</v>
      </c>
      <c r="F596" s="3">
        <f>DATE(1996,5,1)</f>
        <v>35186</v>
      </c>
      <c r="G596">
        <v>156.6</v>
      </c>
      <c r="H596">
        <v>156.4</v>
      </c>
      <c r="I596" s="2">
        <f t="shared" si="27"/>
        <v>1.0019218449711724</v>
      </c>
      <c r="J596" s="2">
        <f t="shared" si="28"/>
        <v>0.27713043804928894</v>
      </c>
      <c r="N596" s="2">
        <v>-0.036168109716428594</v>
      </c>
      <c r="P596" s="2">
        <f t="shared" si="29"/>
        <v>-0.7326886820159473</v>
      </c>
      <c r="R596">
        <v>0.01959552143442945</v>
      </c>
    </row>
    <row r="597" spans="1:18" ht="12.75">
      <c r="A597" s="1">
        <f>DATE(1996,6,1)</f>
        <v>35217</v>
      </c>
      <c r="B597">
        <v>1996</v>
      </c>
      <c r="C597">
        <v>6</v>
      </c>
      <c r="D597">
        <v>5.11</v>
      </c>
      <c r="F597" s="3">
        <f>DATE(1996,6,1)</f>
        <v>35217</v>
      </c>
      <c r="G597">
        <v>156.7</v>
      </c>
      <c r="H597">
        <v>156.7</v>
      </c>
      <c r="I597" s="2">
        <f t="shared" si="27"/>
        <v>1.0019181585677748</v>
      </c>
      <c r="J597" s="2">
        <f t="shared" si="28"/>
        <v>2.715950222184871</v>
      </c>
      <c r="N597" s="2">
        <v>-0.037662084520733906</v>
      </c>
      <c r="P597" s="2">
        <f t="shared" si="29"/>
        <v>2.438819784135582</v>
      </c>
      <c r="R597">
        <v>-0.01836403795400349</v>
      </c>
    </row>
    <row r="598" spans="1:18" ht="12.75">
      <c r="A598" s="1">
        <f>DATE(1996,7,1)</f>
        <v>35247</v>
      </c>
      <c r="B598">
        <v>1996</v>
      </c>
      <c r="C598">
        <v>7</v>
      </c>
      <c r="D598">
        <v>5.17</v>
      </c>
      <c r="F598" s="3">
        <f>DATE(1996,7,1)</f>
        <v>35247</v>
      </c>
      <c r="G598">
        <v>157</v>
      </c>
      <c r="H598">
        <v>157</v>
      </c>
      <c r="I598" s="2">
        <f t="shared" si="27"/>
        <v>1.001914486279515</v>
      </c>
      <c r="J598" s="2">
        <f t="shared" si="28"/>
        <v>2.7791214360684435</v>
      </c>
      <c r="N598" s="2">
        <v>-0.03235944078881186</v>
      </c>
      <c r="P598" s="2">
        <f t="shared" si="29"/>
        <v>0.06317121388357272</v>
      </c>
      <c r="R598">
        <v>-0.007464154774319714</v>
      </c>
    </row>
    <row r="599" spans="1:18" ht="12.75">
      <c r="A599" s="1">
        <f>DATE(1996,8,1)</f>
        <v>35278</v>
      </c>
      <c r="B599">
        <v>1996</v>
      </c>
      <c r="C599">
        <v>8</v>
      </c>
      <c r="D599">
        <v>5.09</v>
      </c>
      <c r="F599" s="3">
        <f>DATE(1996,8,1)</f>
        <v>35278</v>
      </c>
      <c r="G599">
        <v>157.3</v>
      </c>
      <c r="H599">
        <v>157.2</v>
      </c>
      <c r="I599" s="2">
        <f t="shared" si="27"/>
        <v>1.0012738853503185</v>
      </c>
      <c r="J599" s="2">
        <f t="shared" si="28"/>
        <v>2.7054573258805448</v>
      </c>
      <c r="N599" s="2">
        <v>-0.03808702579807058</v>
      </c>
      <c r="P599" s="2">
        <f t="shared" si="29"/>
        <v>-0.07366411018789876</v>
      </c>
      <c r="R599">
        <v>0.011250063344123247</v>
      </c>
    </row>
    <row r="600" spans="1:18" ht="12.75">
      <c r="A600" s="1">
        <f>DATE(1996,9,1)</f>
        <v>35309</v>
      </c>
      <c r="B600">
        <v>1996</v>
      </c>
      <c r="C600">
        <v>9</v>
      </c>
      <c r="D600">
        <v>5.15</v>
      </c>
      <c r="F600" s="3">
        <f>DATE(1996,9,1)</f>
        <v>35309</v>
      </c>
      <c r="G600">
        <v>157.8</v>
      </c>
      <c r="H600">
        <v>157.7</v>
      </c>
      <c r="I600" s="2">
        <f t="shared" si="27"/>
        <v>1.0031806615776082</v>
      </c>
      <c r="J600" s="2">
        <f t="shared" si="28"/>
        <v>3.555842305196144</v>
      </c>
      <c r="N600" s="2">
        <v>-0.029548759538170762</v>
      </c>
      <c r="P600" s="2">
        <f t="shared" si="29"/>
        <v>0.8503849793155993</v>
      </c>
      <c r="R600">
        <v>-0.017541115775664175</v>
      </c>
    </row>
    <row r="601" spans="1:18" ht="12.75">
      <c r="A601" s="1">
        <f>DATE(1996,10,1)</f>
        <v>35339</v>
      </c>
      <c r="B601">
        <v>1996</v>
      </c>
      <c r="C601">
        <v>10</v>
      </c>
      <c r="D601">
        <v>5.01</v>
      </c>
      <c r="F601" s="3">
        <f>DATE(1996,10,1)</f>
        <v>35339</v>
      </c>
      <c r="G601">
        <v>158.3</v>
      </c>
      <c r="H601">
        <v>158.2</v>
      </c>
      <c r="I601" s="2">
        <f t="shared" si="27"/>
        <v>1.003170577045022</v>
      </c>
      <c r="J601" s="2">
        <f t="shared" si="28"/>
        <v>1.0836322245780128</v>
      </c>
      <c r="N601" s="2">
        <v>-0.03282706467321664</v>
      </c>
      <c r="P601" s="2">
        <f t="shared" si="29"/>
        <v>-2.4722100806181313</v>
      </c>
      <c r="R601">
        <v>0.010786441296002881</v>
      </c>
    </row>
    <row r="602" spans="1:18" ht="12.75">
      <c r="A602" s="1">
        <f>DATE(1996,11,1)</f>
        <v>35370</v>
      </c>
      <c r="B602">
        <v>1996</v>
      </c>
      <c r="C602">
        <v>11</v>
      </c>
      <c r="D602">
        <v>5.03</v>
      </c>
      <c r="F602" s="3">
        <f>DATE(1996,11,1)</f>
        <v>35370</v>
      </c>
      <c r="G602">
        <v>158.6</v>
      </c>
      <c r="H602">
        <v>158.7</v>
      </c>
      <c r="I602" s="2">
        <f t="shared" si="27"/>
        <v>1.0031605562579013</v>
      </c>
      <c r="J602" s="2">
        <f t="shared" si="28"/>
        <v>1.1150813254563685</v>
      </c>
      <c r="N602" s="2">
        <v>-0.04038788861709154</v>
      </c>
      <c r="P602" s="2">
        <f t="shared" si="29"/>
        <v>0.03144910087835573</v>
      </c>
      <c r="R602">
        <v>0.004227407347443522</v>
      </c>
    </row>
    <row r="603" spans="1:18" ht="12.75">
      <c r="A603" s="1">
        <f>DATE(1996,12,1)</f>
        <v>35400</v>
      </c>
      <c r="B603">
        <v>1996</v>
      </c>
      <c r="C603">
        <v>12</v>
      </c>
      <c r="D603">
        <v>4.87</v>
      </c>
      <c r="F603" s="3">
        <f>DATE(1996,12,1)</f>
        <v>35400</v>
      </c>
      <c r="G603">
        <v>158.6</v>
      </c>
      <c r="H603">
        <v>159.1</v>
      </c>
      <c r="I603" s="2">
        <f t="shared" si="27"/>
        <v>1.0025204788909894</v>
      </c>
      <c r="J603" s="2">
        <f t="shared" si="28"/>
        <v>0.9731481366043848</v>
      </c>
      <c r="N603" s="2">
        <v>-0.03052084418625793</v>
      </c>
      <c r="P603" s="2">
        <f t="shared" si="29"/>
        <v>-0.1419331888519837</v>
      </c>
      <c r="R603">
        <v>-0.018373076432174975</v>
      </c>
    </row>
    <row r="604" spans="1:18" ht="12.75">
      <c r="A604" s="1">
        <f>DATE(1997,1,1)</f>
        <v>35431</v>
      </c>
      <c r="B604">
        <v>1997</v>
      </c>
      <c r="C604">
        <v>1</v>
      </c>
      <c r="D604">
        <v>5.05</v>
      </c>
      <c r="F604" s="3">
        <f>DATE(1997,1,1)</f>
        <v>35431</v>
      </c>
      <c r="G604">
        <v>159.1</v>
      </c>
      <c r="H604">
        <v>159.4</v>
      </c>
      <c r="I604" s="2">
        <f t="shared" si="27"/>
        <v>1.0018856065367694</v>
      </c>
      <c r="J604" s="2">
        <f t="shared" si="28"/>
        <v>1.9241320969456188</v>
      </c>
      <c r="N604" s="2">
        <v>-0.030601648946197723</v>
      </c>
      <c r="P604" s="2">
        <f t="shared" si="29"/>
        <v>0.950983960341234</v>
      </c>
      <c r="R604">
        <v>0.012071485304869092</v>
      </c>
    </row>
    <row r="605" spans="1:18" ht="12.75">
      <c r="A605" s="1">
        <f>DATE(1997,2,1)</f>
        <v>35462</v>
      </c>
      <c r="B605">
        <v>1997</v>
      </c>
      <c r="C605">
        <v>2</v>
      </c>
      <c r="D605">
        <v>5</v>
      </c>
      <c r="F605" s="3">
        <f>DATE(1997,2,1)</f>
        <v>35462</v>
      </c>
      <c r="G605">
        <v>159.6</v>
      </c>
      <c r="H605">
        <v>159.7</v>
      </c>
      <c r="I605" s="2">
        <f t="shared" si="27"/>
        <v>1.0018820577164365</v>
      </c>
      <c r="J605" s="2">
        <f t="shared" si="28"/>
        <v>2.6530009698174872</v>
      </c>
      <c r="N605" s="2">
        <v>-0.026418392630147558</v>
      </c>
      <c r="P605" s="2">
        <f t="shared" si="29"/>
        <v>0.7288688728718684</v>
      </c>
      <c r="R605">
        <v>-0.004818304828437841</v>
      </c>
    </row>
    <row r="606" spans="1:18" ht="12.75">
      <c r="A606" s="1">
        <f>DATE(1997,3,1)</f>
        <v>35490</v>
      </c>
      <c r="B606">
        <v>1997</v>
      </c>
      <c r="C606">
        <v>3</v>
      </c>
      <c r="D606">
        <v>5.14</v>
      </c>
      <c r="F606" s="3">
        <f>DATE(1997,3,1)</f>
        <v>35490</v>
      </c>
      <c r="G606">
        <v>160</v>
      </c>
      <c r="H606">
        <v>159.8</v>
      </c>
      <c r="I606" s="2">
        <f t="shared" si="27"/>
        <v>1.0006261740763933</v>
      </c>
      <c r="J606" s="2">
        <f t="shared" si="28"/>
        <v>2.7942408933046003</v>
      </c>
      <c r="N606" s="2">
        <v>-0.0306444558707231</v>
      </c>
      <c r="P606" s="2">
        <f t="shared" si="29"/>
        <v>0.14123992348711312</v>
      </c>
      <c r="R606">
        <v>0.009013533076181217</v>
      </c>
    </row>
    <row r="607" spans="1:18" ht="12.75">
      <c r="A607" s="1">
        <f>DATE(1997,4,1)</f>
        <v>35521</v>
      </c>
      <c r="B607">
        <v>1997</v>
      </c>
      <c r="C607">
        <v>4</v>
      </c>
      <c r="D607">
        <v>5.17</v>
      </c>
      <c r="F607" s="3">
        <f>DATE(1997,4,1)</f>
        <v>35521</v>
      </c>
      <c r="G607">
        <v>160.2</v>
      </c>
      <c r="H607">
        <v>159.9</v>
      </c>
      <c r="I607" s="2">
        <f t="shared" si="27"/>
        <v>1.0006257822277846</v>
      </c>
      <c r="J607" s="2">
        <f t="shared" si="28"/>
        <v>4.382950340535241</v>
      </c>
      <c r="N607" s="2">
        <v>-0.05008170662945026</v>
      </c>
      <c r="P607" s="2">
        <f t="shared" si="29"/>
        <v>1.5887094472306407</v>
      </c>
      <c r="R607">
        <v>0.015712866402106448</v>
      </c>
    </row>
    <row r="608" spans="1:18" ht="12.75">
      <c r="A608" s="1">
        <f>DATE(1997,5,1)</f>
        <v>35551</v>
      </c>
      <c r="B608">
        <v>1997</v>
      </c>
      <c r="C608">
        <v>5</v>
      </c>
      <c r="D608">
        <v>5.13</v>
      </c>
      <c r="F608" s="3">
        <f>DATE(1997,5,1)</f>
        <v>35551</v>
      </c>
      <c r="G608">
        <v>160.1</v>
      </c>
      <c r="H608">
        <v>159.9</v>
      </c>
      <c r="I608" s="2">
        <f t="shared" si="27"/>
        <v>1</v>
      </c>
      <c r="J608" s="2">
        <f t="shared" si="28"/>
        <v>4.3437400196253195</v>
      </c>
      <c r="N608" s="2">
        <v>-0.029399336307115175</v>
      </c>
      <c r="P608" s="2">
        <f t="shared" si="29"/>
        <v>-0.03921032090992149</v>
      </c>
      <c r="R608">
        <v>-0.04144943031781297</v>
      </c>
    </row>
    <row r="609" spans="1:18" ht="12.75">
      <c r="A609" s="1">
        <f>DATE(1997,6,1)</f>
        <v>35582</v>
      </c>
      <c r="B609">
        <v>1997</v>
      </c>
      <c r="C609">
        <v>6</v>
      </c>
      <c r="D609">
        <v>4.92</v>
      </c>
      <c r="F609" s="3">
        <f>DATE(1997,6,1)</f>
        <v>35582</v>
      </c>
      <c r="G609">
        <v>160.3</v>
      </c>
      <c r="H609">
        <v>160.2</v>
      </c>
      <c r="I609" s="2">
        <f t="shared" si="27"/>
        <v>1.0018761726078798</v>
      </c>
      <c r="J609" s="2">
        <f t="shared" si="28"/>
        <v>4.919999999999991</v>
      </c>
      <c r="N609" s="2">
        <v>-0.028235327924476063</v>
      </c>
      <c r="P609" s="2">
        <f t="shared" si="29"/>
        <v>0.5762599803746715</v>
      </c>
      <c r="R609">
        <v>0.02183127653806911</v>
      </c>
    </row>
    <row r="610" spans="1:18" ht="12.75">
      <c r="A610" s="1">
        <f>DATE(1997,7,1)</f>
        <v>35612</v>
      </c>
      <c r="B610">
        <v>1997</v>
      </c>
      <c r="C610">
        <v>7</v>
      </c>
      <c r="D610">
        <v>5.07</v>
      </c>
      <c r="F610" s="3">
        <f>DATE(1997,7,1)</f>
        <v>35612</v>
      </c>
      <c r="G610">
        <v>160.5</v>
      </c>
      <c r="H610">
        <v>160.4</v>
      </c>
      <c r="I610" s="2">
        <f t="shared" si="27"/>
        <v>1.0012484394506866</v>
      </c>
      <c r="J610" s="2">
        <f t="shared" si="28"/>
        <v>2.73304392886351</v>
      </c>
      <c r="N610" s="2">
        <v>-0.03319442581059627</v>
      </c>
      <c r="P610" s="2">
        <f t="shared" si="29"/>
        <v>-2.186956071136481</v>
      </c>
      <c r="R610">
        <v>0.0013373104631254557</v>
      </c>
    </row>
    <row r="611" spans="1:18" ht="12.75">
      <c r="A611" s="1">
        <f>DATE(1997,8,1)</f>
        <v>35643</v>
      </c>
      <c r="B611">
        <v>1997</v>
      </c>
      <c r="C611">
        <v>8</v>
      </c>
      <c r="D611">
        <v>5.13</v>
      </c>
      <c r="F611" s="3">
        <f>DATE(1997,8,1)</f>
        <v>35643</v>
      </c>
      <c r="G611">
        <v>160.8</v>
      </c>
      <c r="H611">
        <v>160.8</v>
      </c>
      <c r="I611" s="2">
        <f t="shared" si="27"/>
        <v>1.0024937655860349</v>
      </c>
      <c r="J611" s="2">
        <f t="shared" si="28"/>
        <v>3.5677253594379232</v>
      </c>
      <c r="N611" s="2">
        <v>-0.022168624734053403</v>
      </c>
      <c r="P611" s="2">
        <f t="shared" si="29"/>
        <v>0.8346814305744132</v>
      </c>
      <c r="R611">
        <v>-0.01568572535222511</v>
      </c>
    </row>
    <row r="612" spans="1:18" ht="12.75">
      <c r="A612" s="1">
        <f>DATE(1997,9,1)</f>
        <v>35674</v>
      </c>
      <c r="B612">
        <v>1997</v>
      </c>
      <c r="C612">
        <v>9</v>
      </c>
      <c r="D612">
        <v>4.97</v>
      </c>
      <c r="F612" s="3">
        <f>DATE(1997,9,1)</f>
        <v>35674</v>
      </c>
      <c r="G612">
        <v>161.2</v>
      </c>
      <c r="H612">
        <v>161.2</v>
      </c>
      <c r="I612" s="2">
        <f t="shared" si="27"/>
        <v>1.0024875621890545</v>
      </c>
      <c r="J612" s="2">
        <f t="shared" si="28"/>
        <v>1.8790840200920478</v>
      </c>
      <c r="N612" s="2">
        <v>-0.03620506667264205</v>
      </c>
      <c r="P612" s="2">
        <f t="shared" si="29"/>
        <v>-1.6886413393458755</v>
      </c>
      <c r="R612">
        <v>0.026251365234735993</v>
      </c>
    </row>
    <row r="613" spans="1:18" ht="12.75">
      <c r="A613" s="1">
        <f>DATE(1997,10,1)</f>
        <v>35704</v>
      </c>
      <c r="B613">
        <v>1997</v>
      </c>
      <c r="C613">
        <v>10</v>
      </c>
      <c r="D613">
        <v>4.95</v>
      </c>
      <c r="F613" s="3">
        <f>DATE(1997,10,1)</f>
        <v>35704</v>
      </c>
      <c r="G613">
        <v>161.6</v>
      </c>
      <c r="H613">
        <v>161.5</v>
      </c>
      <c r="I613" s="2">
        <f t="shared" si="27"/>
        <v>1.001861042183623</v>
      </c>
      <c r="J613" s="2">
        <f t="shared" si="28"/>
        <v>1.8672368883666968</v>
      </c>
      <c r="N613" s="2">
        <v>-0.03509674816666446</v>
      </c>
      <c r="P613" s="2">
        <f t="shared" si="29"/>
        <v>-0.011847131725351012</v>
      </c>
      <c r="R613">
        <v>-0.017404970112428544</v>
      </c>
    </row>
    <row r="614" spans="1:18" ht="12.75">
      <c r="A614" s="1">
        <f>DATE(1997,11,1)</f>
        <v>35735</v>
      </c>
      <c r="B614">
        <v>1997</v>
      </c>
      <c r="C614">
        <v>11</v>
      </c>
      <c r="D614">
        <v>5.15</v>
      </c>
      <c r="F614" s="3">
        <f>DATE(1997,11,1)</f>
        <v>35735</v>
      </c>
      <c r="G614">
        <v>161.5</v>
      </c>
      <c r="H614">
        <v>161.7</v>
      </c>
      <c r="I614" s="2">
        <f t="shared" si="27"/>
        <v>1.0012383900928792</v>
      </c>
      <c r="J614" s="2">
        <f t="shared" si="28"/>
        <v>2.8298983860569615</v>
      </c>
      <c r="N614" s="2">
        <v>-0.01837858671772276</v>
      </c>
      <c r="P614" s="2">
        <f t="shared" si="29"/>
        <v>0.9626614976902648</v>
      </c>
      <c r="R614">
        <v>-0.013405457713437843</v>
      </c>
    </row>
    <row r="615" spans="1:18" ht="12.75">
      <c r="A615" s="1">
        <f>DATE(1997,12,1)</f>
        <v>35765</v>
      </c>
      <c r="B615">
        <v>1997</v>
      </c>
      <c r="C615">
        <v>12</v>
      </c>
      <c r="D615">
        <v>5.16</v>
      </c>
      <c r="F615" s="3">
        <f>DATE(1997,12,1)</f>
        <v>35765</v>
      </c>
      <c r="G615">
        <v>161.3</v>
      </c>
      <c r="H615">
        <v>161.8</v>
      </c>
      <c r="I615" s="2">
        <f t="shared" si="27"/>
        <v>1.0006184291898579</v>
      </c>
      <c r="J615" s="2">
        <f t="shared" si="28"/>
        <v>3.6097578174846046</v>
      </c>
      <c r="N615" s="2">
        <v>-0.02533164739126737</v>
      </c>
      <c r="P615" s="2">
        <f t="shared" si="29"/>
        <v>0.779859431427643</v>
      </c>
      <c r="R615">
        <v>0.024584258559833937</v>
      </c>
    </row>
    <row r="616" spans="1:18" ht="12.75">
      <c r="A616" s="1">
        <f>DATE(1998,1,1)</f>
        <v>35796</v>
      </c>
      <c r="B616">
        <v>1998</v>
      </c>
      <c r="C616">
        <v>1</v>
      </c>
      <c r="D616">
        <v>5.09</v>
      </c>
      <c r="F616" s="3">
        <f>DATE(1998,1,1)</f>
        <v>35796</v>
      </c>
      <c r="G616">
        <v>161.6</v>
      </c>
      <c r="H616">
        <v>162</v>
      </c>
      <c r="I616" s="2">
        <f t="shared" si="27"/>
        <v>1.0012360939431395</v>
      </c>
      <c r="J616" s="2">
        <f t="shared" si="28"/>
        <v>4.313237279129645</v>
      </c>
      <c r="N616" s="2">
        <v>-0.024313924787016085</v>
      </c>
      <c r="P616" s="2">
        <f t="shared" si="29"/>
        <v>0.7034794616450402</v>
      </c>
      <c r="R616">
        <v>-0.011058036427043293</v>
      </c>
    </row>
    <row r="617" spans="1:18" ht="12.75">
      <c r="A617" s="1">
        <f>DATE(1998,2,1)</f>
        <v>35827</v>
      </c>
      <c r="B617">
        <v>1998</v>
      </c>
      <c r="C617">
        <v>2</v>
      </c>
      <c r="D617">
        <v>5.11</v>
      </c>
      <c r="F617" s="3">
        <f>DATE(1998,2,1)</f>
        <v>35827</v>
      </c>
      <c r="G617">
        <v>161.9</v>
      </c>
      <c r="H617">
        <v>162</v>
      </c>
      <c r="I617" s="2">
        <f t="shared" si="27"/>
        <v>1</v>
      </c>
      <c r="J617" s="2">
        <f t="shared" si="28"/>
        <v>3.5633449028346087</v>
      </c>
      <c r="N617" s="2">
        <v>-0.01880422117626049</v>
      </c>
      <c r="P617" s="2">
        <f t="shared" si="29"/>
        <v>-0.749892376295036</v>
      </c>
      <c r="R617">
        <v>-0.0018194756899330782</v>
      </c>
    </row>
    <row r="618" spans="1:18" ht="12.75">
      <c r="A618" s="1">
        <f>DATE(1998,3,1)</f>
        <v>35855</v>
      </c>
      <c r="B618">
        <v>1998</v>
      </c>
      <c r="C618">
        <v>3</v>
      </c>
      <c r="D618">
        <v>5.03</v>
      </c>
      <c r="F618" s="3">
        <f>DATE(1998,3,1)</f>
        <v>35855</v>
      </c>
      <c r="G618">
        <v>162.2</v>
      </c>
      <c r="H618">
        <v>162</v>
      </c>
      <c r="I618" s="2">
        <f t="shared" si="27"/>
        <v>1</v>
      </c>
      <c r="J618" s="2">
        <f t="shared" si="28"/>
        <v>5.030000000000001</v>
      </c>
      <c r="N618" s="2">
        <v>-0.033964398273074806</v>
      </c>
      <c r="P618" s="2">
        <f t="shared" si="29"/>
        <v>1.4666550971653924</v>
      </c>
      <c r="R618">
        <v>0.0224947693164622</v>
      </c>
    </row>
    <row r="619" spans="1:18" ht="12.75">
      <c r="A619" s="1">
        <f>DATE(1998,4,1)</f>
        <v>35886</v>
      </c>
      <c r="B619">
        <v>1998</v>
      </c>
      <c r="C619">
        <v>4</v>
      </c>
      <c r="D619">
        <v>5</v>
      </c>
      <c r="F619" s="3">
        <f>DATE(1998,4,1)</f>
        <v>35886</v>
      </c>
      <c r="G619">
        <v>162.5</v>
      </c>
      <c r="H619">
        <v>162.2</v>
      </c>
      <c r="I619" s="2">
        <f t="shared" si="27"/>
        <v>1.0012345679012344</v>
      </c>
      <c r="J619" s="2">
        <f t="shared" si="28"/>
        <v>5.000000000000004</v>
      </c>
      <c r="N619" s="2">
        <v>-0.020813470118646475</v>
      </c>
      <c r="P619" s="2">
        <f t="shared" si="29"/>
        <v>-0.029999999999996696</v>
      </c>
      <c r="R619">
        <v>-0.02916948547408182</v>
      </c>
    </row>
    <row r="620" spans="1:18" ht="12.75">
      <c r="A620" s="1">
        <f>DATE(1998,5,1)</f>
        <v>35916</v>
      </c>
      <c r="B620">
        <v>1998</v>
      </c>
      <c r="C620">
        <v>5</v>
      </c>
      <c r="D620">
        <v>5.03</v>
      </c>
      <c r="F620" s="3">
        <f>DATE(1998,5,1)</f>
        <v>35916</v>
      </c>
      <c r="G620">
        <v>162.8</v>
      </c>
      <c r="H620">
        <v>162.6</v>
      </c>
      <c r="I620" s="2">
        <f t="shared" si="27"/>
        <v>1.0024660912453762</v>
      </c>
      <c r="J620" s="2">
        <f t="shared" si="28"/>
        <v>3.48641481326859</v>
      </c>
      <c r="N620" s="2">
        <v>-0.008292122325994612</v>
      </c>
      <c r="P620" s="2">
        <f t="shared" si="29"/>
        <v>-1.5135851867314143</v>
      </c>
      <c r="R620">
        <v>-0.0009211645278151117</v>
      </c>
    </row>
    <row r="621" spans="1:18" ht="12.75">
      <c r="A621" s="1">
        <f>DATE(1998,6,1)</f>
        <v>35947</v>
      </c>
      <c r="B621">
        <v>1998</v>
      </c>
      <c r="C621">
        <v>6</v>
      </c>
      <c r="D621">
        <v>4.99</v>
      </c>
      <c r="F621" s="3">
        <f>DATE(1998,6,1)</f>
        <v>35947</v>
      </c>
      <c r="G621">
        <v>163</v>
      </c>
      <c r="H621">
        <v>162.8</v>
      </c>
      <c r="I621" s="2">
        <f t="shared" si="27"/>
        <v>1.0012300123001232</v>
      </c>
      <c r="J621" s="2">
        <f t="shared" si="28"/>
        <v>1.9322566693302345</v>
      </c>
      <c r="N621" s="2">
        <v>-0.01171191673823568</v>
      </c>
      <c r="P621" s="2">
        <f t="shared" si="29"/>
        <v>-1.5541581439383556</v>
      </c>
      <c r="R621">
        <v>0.013596783462938881</v>
      </c>
    </row>
    <row r="622" spans="1:18" ht="12.75">
      <c r="A622" s="1">
        <f>DATE(1998,7,1)</f>
        <v>35977</v>
      </c>
      <c r="B622">
        <v>1998</v>
      </c>
      <c r="C622">
        <v>7</v>
      </c>
      <c r="D622">
        <v>4.96</v>
      </c>
      <c r="F622" s="3">
        <f>DATE(1998,7,1)</f>
        <v>35977</v>
      </c>
      <c r="G622">
        <v>163.2</v>
      </c>
      <c r="H622">
        <v>163.2</v>
      </c>
      <c r="I622" s="2">
        <f t="shared" si="27"/>
        <v>1.0024570024570023</v>
      </c>
      <c r="J622" s="2">
        <f t="shared" si="28"/>
        <v>3.423090315501409</v>
      </c>
      <c r="N622" s="2">
        <v>-0.021542434491349318</v>
      </c>
      <c r="P622" s="2">
        <f t="shared" si="29"/>
        <v>1.4908336461711746</v>
      </c>
      <c r="R622">
        <v>0.00894129964553769</v>
      </c>
    </row>
    <row r="623" spans="1:18" ht="12.75">
      <c r="A623" s="1">
        <f>DATE(1998,8,1)</f>
        <v>36008</v>
      </c>
      <c r="B623">
        <v>1998</v>
      </c>
      <c r="C623">
        <v>8</v>
      </c>
      <c r="D623">
        <v>4.94</v>
      </c>
      <c r="F623" s="3">
        <f>DATE(1998,8,1)</f>
        <v>36008</v>
      </c>
      <c r="G623">
        <v>163.4</v>
      </c>
      <c r="H623">
        <v>163.4</v>
      </c>
      <c r="I623" s="2">
        <f t="shared" si="27"/>
        <v>1.0012254901960784</v>
      </c>
      <c r="J623" s="2">
        <f t="shared" si="28"/>
        <v>1.8947981878179698</v>
      </c>
      <c r="N623" s="2">
        <v>-0.02824598295985347</v>
      </c>
      <c r="P623" s="2">
        <f t="shared" si="29"/>
        <v>-1.5282921276834394</v>
      </c>
      <c r="R623">
        <v>-0.005755060305197107</v>
      </c>
    </row>
    <row r="624" spans="1:18" ht="12.75">
      <c r="A624" s="1">
        <f>DATE(1998,9,1)</f>
        <v>36039</v>
      </c>
      <c r="B624">
        <v>1998</v>
      </c>
      <c r="C624">
        <v>9</v>
      </c>
      <c r="D624">
        <v>4.74</v>
      </c>
      <c r="F624" s="3">
        <f>DATE(1998,9,1)</f>
        <v>36039</v>
      </c>
      <c r="G624">
        <v>163.6</v>
      </c>
      <c r="H624">
        <v>163.5</v>
      </c>
      <c r="I624" s="2">
        <f t="shared" si="27"/>
        <v>1.000611995104039</v>
      </c>
      <c r="J624" s="2">
        <f t="shared" si="28"/>
        <v>3.211905534563364</v>
      </c>
      <c r="N624" s="2">
        <v>-0.0010789178554679768</v>
      </c>
      <c r="P624" s="2">
        <f t="shared" si="29"/>
        <v>1.3171073467453942</v>
      </c>
      <c r="R624">
        <v>-0.034607484190922536</v>
      </c>
    </row>
    <row r="625" spans="1:18" ht="12.75">
      <c r="A625" s="1">
        <f>DATE(1998,10,1)</f>
        <v>36069</v>
      </c>
      <c r="B625">
        <v>1998</v>
      </c>
      <c r="C625">
        <v>10</v>
      </c>
      <c r="D625">
        <v>4.08</v>
      </c>
      <c r="F625" s="3">
        <f>DATE(1998,10,1)</f>
        <v>36069</v>
      </c>
      <c r="G625">
        <v>164</v>
      </c>
      <c r="H625">
        <v>163.9</v>
      </c>
      <c r="I625" s="2">
        <f t="shared" si="27"/>
        <v>1.002446483180428</v>
      </c>
      <c r="J625" s="2">
        <f t="shared" si="28"/>
        <v>3.318674520328746</v>
      </c>
      <c r="N625" s="2">
        <v>-0.008448080358801307</v>
      </c>
      <c r="P625" s="2">
        <f t="shared" si="29"/>
        <v>0.10676898576538196</v>
      </c>
      <c r="R625">
        <v>0.03749333704408521</v>
      </c>
    </row>
    <row r="626" spans="1:18" ht="12.75">
      <c r="A626" s="1">
        <f>DATE(1998,11,1)</f>
        <v>36100</v>
      </c>
      <c r="B626">
        <v>1998</v>
      </c>
      <c r="C626">
        <v>11</v>
      </c>
      <c r="D626">
        <v>4.44</v>
      </c>
      <c r="F626" s="3">
        <f>DATE(1998,11,1)</f>
        <v>36100</v>
      </c>
      <c r="G626">
        <v>164</v>
      </c>
      <c r="H626">
        <v>164.1</v>
      </c>
      <c r="I626" s="2">
        <f t="shared" si="27"/>
        <v>1.0012202562538133</v>
      </c>
      <c r="J626" s="2">
        <f t="shared" si="28"/>
        <v>1.4220779664120275</v>
      </c>
      <c r="N626" s="2">
        <v>-0.01794510207169714</v>
      </c>
      <c r="P626" s="2">
        <f t="shared" si="29"/>
        <v>-1.8965965539167184</v>
      </c>
      <c r="R626">
        <v>0.00012950342509444087</v>
      </c>
    </row>
    <row r="627" spans="1:18" ht="12.75">
      <c r="A627" s="1">
        <f>DATE(1998,12,1)</f>
        <v>36130</v>
      </c>
      <c r="B627">
        <v>1998</v>
      </c>
      <c r="C627">
        <v>12</v>
      </c>
      <c r="D627">
        <v>4.42</v>
      </c>
      <c r="F627" s="3">
        <f>DATE(1998,12,1)</f>
        <v>36130</v>
      </c>
      <c r="G627">
        <v>163.9</v>
      </c>
      <c r="H627">
        <v>164.4</v>
      </c>
      <c r="I627" s="2">
        <f t="shared" si="27"/>
        <v>1.0018281535648996</v>
      </c>
      <c r="J627" s="2">
        <f t="shared" si="28"/>
        <v>2.903029110573585</v>
      </c>
      <c r="N627" s="2">
        <v>-0.010994653729241459</v>
      </c>
      <c r="P627" s="2">
        <f t="shared" si="29"/>
        <v>1.4809511441615575</v>
      </c>
      <c r="R627">
        <v>-0.014274151144866534</v>
      </c>
    </row>
    <row r="628" spans="1:18" ht="12.75">
      <c r="A628" s="1">
        <f>DATE(1999,1,1)</f>
        <v>36161</v>
      </c>
      <c r="B628">
        <v>1999</v>
      </c>
      <c r="C628">
        <v>1</v>
      </c>
      <c r="D628">
        <v>4.34</v>
      </c>
      <c r="F628" s="3">
        <f>DATE(1999,1,1)</f>
        <v>36161</v>
      </c>
      <c r="G628">
        <v>164.3</v>
      </c>
      <c r="H628">
        <v>164.7</v>
      </c>
      <c r="I628" s="2">
        <f t="shared" si="27"/>
        <v>1.001824817518248</v>
      </c>
      <c r="J628" s="2">
        <f t="shared" si="28"/>
        <v>2.0779751290838977</v>
      </c>
      <c r="N628" s="2">
        <v>-0.025850750521647533</v>
      </c>
      <c r="P628" s="2">
        <f t="shared" si="29"/>
        <v>-0.8250539814896873</v>
      </c>
      <c r="R628">
        <v>0.02486797456866242</v>
      </c>
    </row>
    <row r="629" spans="1:18" ht="12.75">
      <c r="A629" s="1">
        <f>DATE(1999,2,1)</f>
        <v>36192</v>
      </c>
      <c r="B629">
        <v>1999</v>
      </c>
      <c r="C629">
        <v>2</v>
      </c>
      <c r="D629">
        <v>4.45</v>
      </c>
      <c r="F629" s="3">
        <f>DATE(1999,2,1)</f>
        <v>36192</v>
      </c>
      <c r="G629">
        <v>164.5</v>
      </c>
      <c r="H629">
        <v>164.7</v>
      </c>
      <c r="I629" s="2">
        <f t="shared" si="27"/>
        <v>1</v>
      </c>
      <c r="J629" s="2">
        <f t="shared" si="28"/>
        <v>2.1896737732806093</v>
      </c>
      <c r="N629" s="2">
        <v>-0.027544133099946466</v>
      </c>
      <c r="P629" s="2">
        <f t="shared" si="29"/>
        <v>0.1116986441967116</v>
      </c>
      <c r="R629">
        <v>-0.014992271933058774</v>
      </c>
    </row>
    <row r="630" spans="1:18" ht="12.75">
      <c r="A630" s="1">
        <f>DATE(1999,3,1)</f>
        <v>36220</v>
      </c>
      <c r="B630">
        <v>1999</v>
      </c>
      <c r="C630">
        <v>3</v>
      </c>
      <c r="D630">
        <v>4.48</v>
      </c>
      <c r="F630" s="3">
        <f>DATE(1999,3,1)</f>
        <v>36220</v>
      </c>
      <c r="G630">
        <v>165</v>
      </c>
      <c r="H630">
        <v>164.8</v>
      </c>
      <c r="I630" s="2">
        <f t="shared" si="27"/>
        <v>1.0006071645415908</v>
      </c>
      <c r="J630" s="2">
        <f t="shared" si="28"/>
        <v>4.479999999999995</v>
      </c>
      <c r="N630" s="2">
        <v>0.003975319285533577</v>
      </c>
      <c r="P630" s="2">
        <f t="shared" si="29"/>
        <v>2.290326226719386</v>
      </c>
      <c r="R630">
        <v>-0.03169512351538949</v>
      </c>
    </row>
    <row r="631" spans="1:18" ht="12.75">
      <c r="A631" s="1">
        <f>DATE(1999,4,1)</f>
        <v>36251</v>
      </c>
      <c r="B631">
        <v>1999</v>
      </c>
      <c r="C631">
        <v>4</v>
      </c>
      <c r="D631">
        <v>4.28</v>
      </c>
      <c r="F631" s="3">
        <f>DATE(1999,4,1)</f>
        <v>36251</v>
      </c>
      <c r="G631">
        <v>166.2</v>
      </c>
      <c r="H631">
        <v>165.9</v>
      </c>
      <c r="I631" s="2">
        <f t="shared" si="27"/>
        <v>1.0066747572815533</v>
      </c>
      <c r="J631" s="2">
        <f t="shared" si="28"/>
        <v>3.523208632600272</v>
      </c>
      <c r="N631" s="2">
        <v>-0.0025499486743983295</v>
      </c>
      <c r="P631" s="2">
        <f t="shared" si="29"/>
        <v>-0.956791367399723</v>
      </c>
      <c r="R631">
        <v>0.04037251380637806</v>
      </c>
    </row>
    <row r="632" spans="1:18" ht="12.75">
      <c r="A632" s="1">
        <f>DATE(1999,5,1)</f>
        <v>36281</v>
      </c>
      <c r="B632">
        <v>1999</v>
      </c>
      <c r="C632">
        <v>5</v>
      </c>
      <c r="D632">
        <v>4.51</v>
      </c>
      <c r="F632" s="3">
        <f>DATE(1999,5,1)</f>
        <v>36281</v>
      </c>
      <c r="G632">
        <v>166.2</v>
      </c>
      <c r="H632">
        <v>166</v>
      </c>
      <c r="I632" s="2">
        <f t="shared" si="27"/>
        <v>1.0006027727546714</v>
      </c>
      <c r="J632" s="2">
        <f t="shared" si="28"/>
        <v>-3.508800822374736</v>
      </c>
      <c r="N632" s="2">
        <v>-0.018998849070056657</v>
      </c>
      <c r="P632" s="2">
        <f t="shared" si="29"/>
        <v>-7.032009454975007</v>
      </c>
      <c r="R632">
        <v>-0.0032653130316442867</v>
      </c>
    </row>
    <row r="633" spans="1:18" ht="12.75">
      <c r="A633" s="1">
        <f>DATE(1999,6,1)</f>
        <v>36312</v>
      </c>
      <c r="B633">
        <v>1999</v>
      </c>
      <c r="C633">
        <v>6</v>
      </c>
      <c r="D633">
        <v>4.59</v>
      </c>
      <c r="F633" s="3">
        <f>DATE(1999,6,1)</f>
        <v>36312</v>
      </c>
      <c r="G633">
        <v>166.2</v>
      </c>
      <c r="H633">
        <v>166</v>
      </c>
      <c r="I633" s="2">
        <f t="shared" si="27"/>
        <v>1</v>
      </c>
      <c r="J633" s="2">
        <f t="shared" si="28"/>
        <v>3.8364277462058727</v>
      </c>
      <c r="N633" s="2">
        <v>-0.018798889564031876</v>
      </c>
      <c r="P633" s="2">
        <f t="shared" si="29"/>
        <v>7.345228568580609</v>
      </c>
      <c r="R633">
        <v>-0.007991733731945446</v>
      </c>
    </row>
    <row r="634" spans="1:18" ht="12.75">
      <c r="A634" s="1">
        <f>DATE(1999,7,1)</f>
        <v>36342</v>
      </c>
      <c r="B634">
        <v>1999</v>
      </c>
      <c r="C634">
        <v>7</v>
      </c>
      <c r="D634">
        <v>4.6</v>
      </c>
      <c r="F634" s="3">
        <f>DATE(1999,7,1)</f>
        <v>36342</v>
      </c>
      <c r="G634">
        <v>166.7</v>
      </c>
      <c r="H634">
        <v>166.7</v>
      </c>
      <c r="I634" s="2">
        <f t="shared" si="27"/>
        <v>1.0042168674698795</v>
      </c>
      <c r="J634" s="2">
        <f t="shared" si="28"/>
        <v>4.600000000000004</v>
      </c>
      <c r="N634" s="2">
        <v>-0.01087142708904345</v>
      </c>
      <c r="P634" s="2">
        <f t="shared" si="29"/>
        <v>0.7635722537941314</v>
      </c>
      <c r="R634">
        <v>-0.0034244679035488343</v>
      </c>
    </row>
    <row r="635" spans="1:18" ht="12.75">
      <c r="A635" s="1">
        <f>DATE(1999,8,1)</f>
        <v>36373</v>
      </c>
      <c r="B635">
        <v>1999</v>
      </c>
      <c r="C635">
        <v>8</v>
      </c>
      <c r="D635">
        <v>4.76</v>
      </c>
      <c r="F635" s="3">
        <f>DATE(1999,8,1)</f>
        <v>36373</v>
      </c>
      <c r="G635">
        <v>167.1</v>
      </c>
      <c r="H635">
        <v>167.1</v>
      </c>
      <c r="I635" s="2">
        <f t="shared" si="27"/>
        <v>1.0023995200959808</v>
      </c>
      <c r="J635" s="2">
        <f t="shared" si="28"/>
        <v>-0.39862170111217843</v>
      </c>
      <c r="N635" s="2">
        <v>0.002396123754067824</v>
      </c>
      <c r="P635" s="2">
        <f t="shared" si="29"/>
        <v>-4.9986217011121825</v>
      </c>
      <c r="R635">
        <v>-0.009130408802606387</v>
      </c>
    </row>
    <row r="636" spans="1:18" ht="12.75">
      <c r="A636" s="1">
        <f>DATE(1999,9,1)</f>
        <v>36404</v>
      </c>
      <c r="B636">
        <v>1999</v>
      </c>
      <c r="C636">
        <v>9</v>
      </c>
      <c r="D636">
        <v>4.73</v>
      </c>
      <c r="F636" s="3">
        <f>DATE(1999,9,1)</f>
        <v>36404</v>
      </c>
      <c r="G636">
        <v>167.9</v>
      </c>
      <c r="H636">
        <v>167.8</v>
      </c>
      <c r="I636" s="2">
        <f t="shared" si="27"/>
        <v>1.0041891083183723</v>
      </c>
      <c r="J636" s="2">
        <f t="shared" si="28"/>
        <v>1.7608914274112708</v>
      </c>
      <c r="N636" s="2">
        <v>-0.014580928917920809</v>
      </c>
      <c r="P636" s="2">
        <f t="shared" si="29"/>
        <v>2.1595131285234492</v>
      </c>
      <c r="R636">
        <v>0.03083640074914538</v>
      </c>
    </row>
    <row r="637" spans="1:18" ht="12.75">
      <c r="A637" s="1">
        <f>DATE(1999,10,1)</f>
        <v>36434</v>
      </c>
      <c r="B637">
        <v>1999</v>
      </c>
      <c r="C637">
        <v>10</v>
      </c>
      <c r="D637">
        <v>4.88</v>
      </c>
      <c r="F637" s="3">
        <f>DATE(1999,10,1)</f>
        <v>36434</v>
      </c>
      <c r="G637">
        <v>168.2</v>
      </c>
      <c r="H637">
        <v>168.1</v>
      </c>
      <c r="I637" s="2">
        <f t="shared" si="27"/>
        <v>1.001787842669845</v>
      </c>
      <c r="J637" s="2">
        <f t="shared" si="28"/>
        <v>-0.25144810967682174</v>
      </c>
      <c r="N637" s="2">
        <v>-0.014662940487500421</v>
      </c>
      <c r="P637" s="2">
        <f t="shared" si="29"/>
        <v>-2.0123395370880925</v>
      </c>
      <c r="R637">
        <v>-0.020583758577618592</v>
      </c>
    </row>
    <row r="638" spans="1:18" ht="12.75">
      <c r="A638" s="1">
        <f>DATE(1999,11,1)</f>
        <v>36465</v>
      </c>
      <c r="B638">
        <v>1999</v>
      </c>
      <c r="C638">
        <v>11</v>
      </c>
      <c r="D638">
        <v>5.07</v>
      </c>
      <c r="F638" s="3">
        <f>DATE(1999,11,1)</f>
        <v>36465</v>
      </c>
      <c r="G638">
        <v>168.3</v>
      </c>
      <c r="H638">
        <v>168.4</v>
      </c>
      <c r="I638" s="2">
        <f t="shared" si="27"/>
        <v>1.0017846519928615</v>
      </c>
      <c r="J638" s="2">
        <f t="shared" si="28"/>
        <v>2.841795162470695</v>
      </c>
      <c r="N638" s="2">
        <v>-0.010396838348528881</v>
      </c>
      <c r="P638" s="2">
        <f t="shared" si="29"/>
        <v>3.0932432721475167</v>
      </c>
      <c r="R638">
        <v>0.003402493736615404</v>
      </c>
    </row>
    <row r="639" spans="1:18" ht="12.75">
      <c r="A639" s="1">
        <f>DATE(1999,12,1)</f>
        <v>36495</v>
      </c>
      <c r="B639">
        <v>1999</v>
      </c>
      <c r="C639">
        <v>12</v>
      </c>
      <c r="D639">
        <v>5.23</v>
      </c>
      <c r="F639" s="3">
        <f>DATE(1999,12,1)</f>
        <v>36495</v>
      </c>
      <c r="G639">
        <v>168.3</v>
      </c>
      <c r="H639">
        <v>168.8</v>
      </c>
      <c r="I639" s="2">
        <f t="shared" si="27"/>
        <v>1.002375296912114</v>
      </c>
      <c r="J639" s="2">
        <f t="shared" si="28"/>
        <v>3.0023387238695465</v>
      </c>
      <c r="N639" s="2">
        <v>-0.010416626553127207</v>
      </c>
      <c r="P639" s="2">
        <f t="shared" si="29"/>
        <v>0.1605435613988515</v>
      </c>
      <c r="R639">
        <v>0.0011154387401138245</v>
      </c>
    </row>
    <row r="640" spans="1:18" ht="12.75">
      <c r="A640" s="1">
        <f>DATE(2000,1,1)</f>
        <v>36526</v>
      </c>
      <c r="B640">
        <v>2000</v>
      </c>
      <c r="C640">
        <v>1</v>
      </c>
      <c r="D640">
        <v>5.34</v>
      </c>
      <c r="F640" s="3">
        <f>DATE(2000,1,1)</f>
        <v>36526</v>
      </c>
      <c r="G640">
        <v>168.8</v>
      </c>
      <c r="H640">
        <v>169.3</v>
      </c>
      <c r="I640" s="2">
        <f t="shared" si="27"/>
        <v>1.002962085308057</v>
      </c>
      <c r="J640" s="2">
        <f t="shared" si="28"/>
        <v>2.3832832545705784</v>
      </c>
      <c r="N640" s="2">
        <v>-0.00040810759615727936</v>
      </c>
      <c r="P640" s="2">
        <f t="shared" si="29"/>
        <v>-0.619055469298968</v>
      </c>
      <c r="R640">
        <v>-0.011259570667859868</v>
      </c>
    </row>
    <row r="641" spans="1:18" ht="12.75">
      <c r="A641" s="1">
        <f>DATE(2000,2,1)</f>
        <v>36557</v>
      </c>
      <c r="B641">
        <v>2000</v>
      </c>
      <c r="C641">
        <v>2</v>
      </c>
      <c r="D641">
        <v>5.57</v>
      </c>
      <c r="F641" s="3">
        <f>DATE(2000,2,1)</f>
        <v>36557</v>
      </c>
      <c r="G641">
        <v>169.8</v>
      </c>
      <c r="H641">
        <v>170</v>
      </c>
      <c r="I641" s="2">
        <f t="shared" si="27"/>
        <v>1.0041346721795628</v>
      </c>
      <c r="J641" s="2">
        <f t="shared" si="28"/>
        <v>1.8887728736364462</v>
      </c>
      <c r="N641" s="2">
        <v>0.00600653186313809</v>
      </c>
      <c r="P641" s="2">
        <f t="shared" si="29"/>
        <v>-0.49451038093413224</v>
      </c>
      <c r="R641">
        <v>0.003017264256602373</v>
      </c>
    </row>
    <row r="642" spans="1:18" ht="12.75">
      <c r="A642" s="1">
        <f>DATE(2000,3,1)</f>
        <v>36586</v>
      </c>
      <c r="B642">
        <v>2000</v>
      </c>
      <c r="C642">
        <v>3</v>
      </c>
      <c r="D642">
        <v>5.72</v>
      </c>
      <c r="F642" s="3">
        <f>DATE(2000,3,1)</f>
        <v>36586</v>
      </c>
      <c r="G642">
        <v>171.2</v>
      </c>
      <c r="H642">
        <v>171</v>
      </c>
      <c r="I642" s="2">
        <f t="shared" si="27"/>
        <v>1.0058823529411764</v>
      </c>
      <c r="J642" s="2">
        <f t="shared" si="28"/>
        <v>0.6128833728067162</v>
      </c>
      <c r="N642" s="2">
        <v>-0.01005061358273941</v>
      </c>
      <c r="P642" s="2">
        <f t="shared" si="29"/>
        <v>-1.27588950082973</v>
      </c>
      <c r="R642">
        <v>0.019437158085899915</v>
      </c>
    </row>
    <row r="643" spans="1:16" ht="12.75">
      <c r="A643" s="1">
        <f>DATE(2000,4,1)</f>
        <v>36617</v>
      </c>
      <c r="B643">
        <v>2000</v>
      </c>
      <c r="C643">
        <v>4</v>
      </c>
      <c r="D643">
        <v>5.67</v>
      </c>
      <c r="F643" s="3">
        <f>DATE(2000,4,1)</f>
        <v>36617</v>
      </c>
      <c r="G643">
        <v>171.3</v>
      </c>
      <c r="H643">
        <v>170.9</v>
      </c>
      <c r="I643" s="2">
        <f t="shared" si="27"/>
        <v>0.9994152046783626</v>
      </c>
      <c r="J643" s="2">
        <f t="shared" si="28"/>
        <v>-1.5115190150630342</v>
      </c>
      <c r="P643" s="2">
        <f t="shared" si="29"/>
        <v>-2.1244023878697504</v>
      </c>
    </row>
    <row r="644" spans="1:16" ht="12.75">
      <c r="A644" s="1">
        <f>DATE(2000,5,1)</f>
        <v>36647</v>
      </c>
      <c r="B644">
        <v>2000</v>
      </c>
      <c r="C644">
        <v>5</v>
      </c>
      <c r="D644">
        <v>5.92</v>
      </c>
      <c r="F644" s="3">
        <f>DATE(2000,5,1)</f>
        <v>36647</v>
      </c>
      <c r="G644">
        <v>171.5</v>
      </c>
      <c r="H644">
        <v>171.2</v>
      </c>
      <c r="I644" s="2">
        <f t="shared" si="27"/>
        <v>1.0017554125219426</v>
      </c>
      <c r="J644" s="2">
        <f t="shared" si="28"/>
        <v>6.666131375893558</v>
      </c>
      <c r="P644" s="2">
        <f t="shared" si="29"/>
        <v>8.177650390956593</v>
      </c>
    </row>
    <row r="645" spans="1:16" ht="12.75">
      <c r="A645" s="1">
        <f>DATE(2000,6,1)</f>
        <v>36678</v>
      </c>
      <c r="B645">
        <v>2000</v>
      </c>
      <c r="C645">
        <v>6</v>
      </c>
      <c r="D645">
        <v>5.74</v>
      </c>
      <c r="F645" s="3">
        <f>DATE(2000,6,1)</f>
        <v>36678</v>
      </c>
      <c r="G645">
        <v>172.4</v>
      </c>
      <c r="H645">
        <v>172.2</v>
      </c>
      <c r="I645" s="2">
        <f t="shared" si="27"/>
        <v>1.0058411214953271</v>
      </c>
      <c r="J645" s="2">
        <f t="shared" si="28"/>
        <v>3.537800450705886</v>
      </c>
      <c r="P645" s="2">
        <f t="shared" si="29"/>
        <v>-3.1283309251876723</v>
      </c>
    </row>
    <row r="646" spans="6:8" ht="12.75">
      <c r="F646" s="3">
        <f>DATE(2000,7,1)</f>
        <v>36708</v>
      </c>
      <c r="G646">
        <v>172.8</v>
      </c>
      <c r="H646">
        <v>172.7</v>
      </c>
    </row>
    <row r="647" spans="6:8" ht="12.75">
      <c r="F647" s="3">
        <f>DATE(2000,8,1)</f>
        <v>36739</v>
      </c>
      <c r="G647">
        <v>172.8</v>
      </c>
      <c r="H647">
        <v>172.7</v>
      </c>
    </row>
    <row r="648" spans="6:8" ht="12.75">
      <c r="F648" s="3">
        <f>DATE(2000,9,1)</f>
        <v>36770</v>
      </c>
      <c r="G648">
        <v>173.7</v>
      </c>
      <c r="H648">
        <v>173.6</v>
      </c>
    </row>
    <row r="649" spans="6:8" ht="12.75">
      <c r="F649" s="3">
        <f>DATE(2000,10,1)</f>
        <v>36800</v>
      </c>
      <c r="G649">
        <v>174</v>
      </c>
      <c r="H649">
        <v>173.9</v>
      </c>
    </row>
    <row r="650" spans="6:8" ht="12.75">
      <c r="F650" s="3">
        <f>DATE(2000,11,1)</f>
        <v>36831</v>
      </c>
      <c r="G650">
        <v>174.1</v>
      </c>
      <c r="H650">
        <v>174.2</v>
      </c>
    </row>
    <row r="651" spans="6:8" ht="12.75">
      <c r="F651" s="3">
        <f>DATE(2000,12,1)</f>
        <v>36861</v>
      </c>
      <c r="G651">
        <v>174</v>
      </c>
      <c r="H651">
        <v>174.6</v>
      </c>
    </row>
    <row r="652" spans="6:8" ht="12.75">
      <c r="F652" s="3">
        <f>DATE(2001,1,1)</f>
        <v>36892</v>
      </c>
      <c r="G652">
        <v>175.1</v>
      </c>
      <c r="H652">
        <v>175.6</v>
      </c>
    </row>
    <row r="653" spans="6:8" ht="12.75">
      <c r="F653" s="3">
        <f>DATE(2001,2,1)</f>
        <v>36923</v>
      </c>
      <c r="G653">
        <v>175.8</v>
      </c>
      <c r="H653">
        <v>176</v>
      </c>
    </row>
    <row r="654" spans="6:8" ht="12.75">
      <c r="F654" s="3">
        <f>DATE(2001,3,1)</f>
        <v>36951</v>
      </c>
      <c r="G654">
        <v>176.2</v>
      </c>
      <c r="H654">
        <v>176.1</v>
      </c>
    </row>
    <row r="655" spans="6:8" ht="12.75">
      <c r="F655" s="3">
        <f>DATE(2001,4,1)</f>
        <v>36982</v>
      </c>
      <c r="G655">
        <v>176.9</v>
      </c>
      <c r="H655">
        <v>176.4</v>
      </c>
    </row>
    <row r="656" spans="6:8" ht="12.75">
      <c r="F656" s="3">
        <f>DATE(2001,5,1)</f>
        <v>37012</v>
      </c>
      <c r="G656">
        <v>177.7</v>
      </c>
      <c r="H656">
        <v>177.3</v>
      </c>
    </row>
    <row r="657" spans="6:8" ht="12.75">
      <c r="F657" s="3">
        <f>DATE(2001,6,1)</f>
        <v>37043</v>
      </c>
      <c r="G657">
        <v>178</v>
      </c>
      <c r="H657">
        <v>177.7</v>
      </c>
    </row>
    <row r="658" spans="6:8" ht="12.75">
      <c r="F658" s="3">
        <f>DATE(2001,7,1)</f>
        <v>37073</v>
      </c>
      <c r="G658">
        <v>177.5</v>
      </c>
      <c r="H658">
        <v>177.4</v>
      </c>
    </row>
    <row r="659" spans="6:8" ht="12.75">
      <c r="F659" s="3">
        <f>DATE(2001,8,1)</f>
        <v>37104</v>
      </c>
      <c r="G659">
        <v>177.5</v>
      </c>
      <c r="H659">
        <v>177.4</v>
      </c>
    </row>
    <row r="660" spans="6:8" ht="12.75">
      <c r="F660" s="3">
        <f>DATE(2001,9,1)</f>
        <v>37135</v>
      </c>
      <c r="G660">
        <v>178.3</v>
      </c>
      <c r="H660">
        <v>178.1</v>
      </c>
    </row>
    <row r="661" spans="6:8" ht="12.75">
      <c r="F661" s="3">
        <f>DATE(2001,10,1)</f>
        <v>37165</v>
      </c>
      <c r="G661">
        <v>177.7</v>
      </c>
      <c r="H661">
        <v>177.6</v>
      </c>
    </row>
    <row r="662" spans="6:8" ht="12.75">
      <c r="F662" s="3">
        <f>DATE(2001,11,1)</f>
        <v>37196</v>
      </c>
      <c r="G662">
        <v>177.4</v>
      </c>
      <c r="H662">
        <v>177.5</v>
      </c>
    </row>
    <row r="663" spans="6:8" ht="12.75">
      <c r="F663" s="3">
        <f>DATE(2001,12,1)</f>
        <v>37226</v>
      </c>
      <c r="G663">
        <v>176.7</v>
      </c>
      <c r="H663">
        <v>177.4</v>
      </c>
    </row>
    <row r="664" spans="6:8" ht="12.75">
      <c r="F664" s="3">
        <f>DATE(2002,1,1)</f>
        <v>37257</v>
      </c>
      <c r="G664">
        <v>177.1</v>
      </c>
      <c r="H664">
        <v>177.7</v>
      </c>
    </row>
    <row r="665" spans="6:8" ht="12.75">
      <c r="F665" s="3">
        <f>DATE(2002,2,1)</f>
        <v>37288</v>
      </c>
      <c r="G665">
        <v>177.8</v>
      </c>
      <c r="H665">
        <v>178</v>
      </c>
    </row>
    <row r="666" spans="6:8" ht="12.75">
      <c r="F666" s="3">
        <f>DATE(2002,3,1)</f>
        <v>37316</v>
      </c>
      <c r="G666">
        <v>178.8</v>
      </c>
      <c r="H666">
        <v>178.6</v>
      </c>
    </row>
    <row r="667" spans="6:8" ht="12.75">
      <c r="F667" s="3">
        <f>DATE(2002,4,1)</f>
        <v>37347</v>
      </c>
      <c r="G667">
        <v>179.8</v>
      </c>
      <c r="H667">
        <v>179.3</v>
      </c>
    </row>
    <row r="668" spans="6:8" ht="12.75">
      <c r="F668" s="3">
        <f>DATE(2002,5,1)</f>
        <v>37377</v>
      </c>
      <c r="G668">
        <v>179.8</v>
      </c>
      <c r="H668">
        <v>179.4</v>
      </c>
    </row>
    <row r="669" spans="6:8" ht="12.75">
      <c r="F669" s="3">
        <f>DATE(2002,6,1)</f>
        <v>37408</v>
      </c>
      <c r="G669">
        <v>179.9</v>
      </c>
      <c r="H669">
        <v>179.6</v>
      </c>
    </row>
    <row r="670" spans="6:8" ht="12.75">
      <c r="F670" s="3">
        <f>DATE(2002,7,1)</f>
        <v>37438</v>
      </c>
      <c r="G670">
        <v>180.1</v>
      </c>
      <c r="H670">
        <v>180</v>
      </c>
    </row>
    <row r="671" spans="6:8" ht="12.75">
      <c r="F671" s="3">
        <f>DATE(2002,8,1)</f>
        <v>37469</v>
      </c>
      <c r="G671">
        <v>180.7</v>
      </c>
      <c r="H671">
        <v>180.5</v>
      </c>
    </row>
    <row r="672" spans="6:8" ht="12.75">
      <c r="F672" s="3">
        <f>DATE(2002,9,1)</f>
        <v>37500</v>
      </c>
      <c r="G672">
        <v>181</v>
      </c>
      <c r="H672">
        <v>180.8</v>
      </c>
    </row>
    <row r="673" spans="6:8" ht="12.75">
      <c r="F673" s="3">
        <f>DATE(2002,10,1)</f>
        <v>37530</v>
      </c>
      <c r="G673">
        <v>181.3</v>
      </c>
      <c r="H673">
        <v>181.2</v>
      </c>
    </row>
    <row r="674" spans="6:8" ht="12.75">
      <c r="F674" s="3">
        <f>DATE(2002,11,1)</f>
        <v>37561</v>
      </c>
      <c r="G674">
        <v>181.3</v>
      </c>
      <c r="H674">
        <v>181.5</v>
      </c>
    </row>
    <row r="675" spans="6:8" ht="12.75">
      <c r="F675" s="3">
        <f>DATE(2002,12,1)</f>
        <v>37591</v>
      </c>
      <c r="G675">
        <v>180.9</v>
      </c>
      <c r="H675">
        <v>181.7</v>
      </c>
    </row>
    <row r="676" spans="6:8" ht="12.75">
      <c r="F676" s="3">
        <f>DATE(2003,1,1)</f>
        <v>37622</v>
      </c>
      <c r="G676">
        <v>181.7</v>
      </c>
      <c r="H676">
        <v>182.3</v>
      </c>
    </row>
    <row r="677" spans="6:8" ht="12.75">
      <c r="F677" s="3">
        <f>DATE(2003,2,1)</f>
        <v>37653</v>
      </c>
      <c r="G677">
        <v>183.1</v>
      </c>
      <c r="H677">
        <v>183.3</v>
      </c>
    </row>
    <row r="678" spans="6:8" ht="12.75">
      <c r="F678" s="3">
        <f>DATE(2003,3,1)</f>
        <v>37681</v>
      </c>
      <c r="G678">
        <v>184.2</v>
      </c>
      <c r="H678">
        <v>184.1</v>
      </c>
    </row>
    <row r="679" spans="6:8" ht="12.75">
      <c r="F679" s="3">
        <f>DATE(2003,4,1)</f>
        <v>37712</v>
      </c>
      <c r="G679">
        <v>183.8</v>
      </c>
      <c r="H679">
        <v>183.3</v>
      </c>
    </row>
    <row r="680" spans="6:8" ht="12.75">
      <c r="F680" s="3">
        <f>DATE(2003,5,1)</f>
        <v>37742</v>
      </c>
      <c r="G680">
        <v>183.5</v>
      </c>
      <c r="H680">
        <v>183.2</v>
      </c>
    </row>
    <row r="681" spans="6:8" ht="12.75">
      <c r="F681" s="3">
        <f>DATE(2003,6,1)</f>
        <v>37773</v>
      </c>
      <c r="G681">
        <v>183.7</v>
      </c>
      <c r="H681">
        <v>183.4</v>
      </c>
    </row>
    <row r="682" spans="6:8" ht="12.75">
      <c r="F682" s="3">
        <f>DATE(2003,7,1)</f>
        <v>37803</v>
      </c>
      <c r="G682">
        <v>183.9</v>
      </c>
      <c r="H682">
        <v>183.8</v>
      </c>
    </row>
    <row r="683" spans="6:8" ht="12.75">
      <c r="F683" s="3">
        <f>DATE(2003,8,1)</f>
        <v>37834</v>
      </c>
      <c r="G683">
        <v>184.6</v>
      </c>
      <c r="H683">
        <v>184.5</v>
      </c>
    </row>
    <row r="684" spans="6:8" ht="12.75">
      <c r="F684" s="3">
        <f>DATE(2003,9,1)</f>
        <v>37865</v>
      </c>
      <c r="G684">
        <v>185.2</v>
      </c>
      <c r="H684">
        <v>185</v>
      </c>
    </row>
    <row r="685" spans="6:8" ht="12.75">
      <c r="F685" s="3">
        <f>DATE(2003,10,1)</f>
        <v>37895</v>
      </c>
      <c r="G685">
        <v>185</v>
      </c>
      <c r="H685">
        <v>184.9</v>
      </c>
    </row>
    <row r="686" spans="6:8" ht="12.75">
      <c r="F686" s="3">
        <f>DATE(2003,11,1)</f>
        <v>37926</v>
      </c>
      <c r="G686">
        <v>184.5</v>
      </c>
      <c r="H686">
        <v>184.7</v>
      </c>
    </row>
    <row r="687" spans="6:8" ht="12.75">
      <c r="F687" s="3">
        <f>DATE(2003,12,1)</f>
        <v>37956</v>
      </c>
      <c r="G687">
        <v>184.3</v>
      </c>
      <c r="H687">
        <v>185.1</v>
      </c>
    </row>
    <row r="688" spans="6:8" ht="12.75">
      <c r="F688" s="3">
        <f>DATE(2004,1,1)</f>
        <v>37987</v>
      </c>
      <c r="G688">
        <v>185.2</v>
      </c>
      <c r="H688">
        <v>185.9</v>
      </c>
    </row>
    <row r="689" spans="6:8" ht="12.75">
      <c r="F689" s="3">
        <f>DATE(2004,2,1)</f>
        <v>38018</v>
      </c>
      <c r="G689">
        <v>186.2</v>
      </c>
      <c r="H689">
        <v>186.5</v>
      </c>
    </row>
    <row r="690" spans="6:8" ht="12.75">
      <c r="F690" s="3">
        <f>DATE(2004,3,1)</f>
        <v>38047</v>
      </c>
      <c r="G690">
        <v>187.4</v>
      </c>
      <c r="H690">
        <v>187.3</v>
      </c>
    </row>
    <row r="691" spans="6:8" ht="12.75">
      <c r="F691" s="3">
        <f>DATE(2004,4,1)</f>
        <v>38078</v>
      </c>
      <c r="G691">
        <v>188</v>
      </c>
      <c r="H691">
        <v>187.5</v>
      </c>
    </row>
    <row r="692" spans="6:8" ht="12.75">
      <c r="F692" s="3">
        <f>DATE(2004,5,1)</f>
        <v>38108</v>
      </c>
      <c r="G692">
        <v>189.1</v>
      </c>
      <c r="H692">
        <v>188.6</v>
      </c>
    </row>
    <row r="693" spans="6:8" ht="12.75">
      <c r="F693" s="3">
        <f>DATE(2004,6,1)</f>
        <v>38139</v>
      </c>
      <c r="G693">
        <v>189.7</v>
      </c>
      <c r="H693">
        <v>189.2</v>
      </c>
    </row>
    <row r="694" spans="6:8" ht="12.75">
      <c r="F694" s="3">
        <f>DATE(2004,7,1)</f>
        <v>38169</v>
      </c>
      <c r="G694">
        <v>189.4</v>
      </c>
      <c r="H694">
        <v>189.2</v>
      </c>
    </row>
    <row r="695" spans="6:8" ht="12.75">
      <c r="F695" s="3">
        <f>DATE(2004,8,1)</f>
        <v>38200</v>
      </c>
      <c r="G695">
        <v>189.5</v>
      </c>
      <c r="H695">
        <v>189.4</v>
      </c>
    </row>
    <row r="696" spans="6:8" ht="12.75">
      <c r="F696" s="3">
        <f>DATE(2004,9,1)</f>
        <v>38231</v>
      </c>
      <c r="G696">
        <v>189.9</v>
      </c>
      <c r="H696">
        <v>189.7</v>
      </c>
    </row>
    <row r="697" spans="6:8" ht="12.75">
      <c r="F697" s="3">
        <f>DATE(2004,10,1)</f>
        <v>38261</v>
      </c>
      <c r="G697">
        <v>190.9</v>
      </c>
      <c r="H697">
        <v>190.8</v>
      </c>
    </row>
    <row r="698" spans="6:8" ht="12.75">
      <c r="F698" s="3">
        <f>DATE(2004,11,1)</f>
        <v>38292</v>
      </c>
      <c r="G698">
        <v>191</v>
      </c>
      <c r="H698">
        <v>191.2</v>
      </c>
    </row>
    <row r="699" spans="6:8" ht="12.75">
      <c r="F699" s="3">
        <f>DATE(2004,12,1)</f>
        <v>38322</v>
      </c>
      <c r="G699">
        <v>190.3</v>
      </c>
      <c r="H699">
        <v>191.2</v>
      </c>
    </row>
    <row r="700" spans="6:8" ht="12.75">
      <c r="F700" s="3">
        <f>DATE(2005,1,1)</f>
        <v>38353</v>
      </c>
      <c r="G700">
        <v>190.7</v>
      </c>
      <c r="H700">
        <v>191.4</v>
      </c>
    </row>
    <row r="701" spans="6:8" ht="12.75">
      <c r="F701" s="3">
        <f>DATE(2005,2,1)</f>
        <v>38384</v>
      </c>
      <c r="G701">
        <v>191.8</v>
      </c>
      <c r="H701">
        <v>192.1</v>
      </c>
    </row>
    <row r="702" spans="6:8" ht="12.75">
      <c r="F702" s="3">
        <f>DATE(2005,3,1)</f>
        <v>38412</v>
      </c>
      <c r="G702">
        <v>193.3</v>
      </c>
      <c r="H702">
        <v>193.2</v>
      </c>
    </row>
    <row r="703" spans="6:8" ht="12.75">
      <c r="F703" s="3">
        <f>DATE(2005,4,1)</f>
        <v>38443</v>
      </c>
      <c r="G703">
        <v>194.6</v>
      </c>
      <c r="H703">
        <v>194.1</v>
      </c>
    </row>
    <row r="704" spans="6:8" ht="12.75">
      <c r="F704" s="3">
        <f>DATE(2005,5,1)</f>
        <v>38473</v>
      </c>
      <c r="G704">
        <v>194.4</v>
      </c>
      <c r="H704">
        <v>194</v>
      </c>
    </row>
    <row r="705" spans="6:8" ht="12.75">
      <c r="F705" s="3">
        <f>DATE(2005,6,1)</f>
        <v>38504</v>
      </c>
      <c r="G705">
        <v>194.5</v>
      </c>
      <c r="H705">
        <v>193.9</v>
      </c>
    </row>
    <row r="706" spans="6:8" ht="12.75">
      <c r="F706" s="3">
        <f>DATE(2005,7,1)</f>
        <v>38534</v>
      </c>
      <c r="G706">
        <v>195.4</v>
      </c>
      <c r="H706">
        <v>195.1</v>
      </c>
    </row>
    <row r="707" spans="6:8" ht="12.75">
      <c r="F707" s="3">
        <f>DATE(2005,8,1)</f>
        <v>38565</v>
      </c>
      <c r="G707">
        <v>196.4</v>
      </c>
      <c r="H707">
        <v>196.2</v>
      </c>
    </row>
    <row r="708" spans="6:8" ht="12.75">
      <c r="F708" s="3">
        <f>DATE(2005,9,1)</f>
        <v>38596</v>
      </c>
      <c r="G708">
        <v>198.8</v>
      </c>
      <c r="H708">
        <v>198.6</v>
      </c>
    </row>
    <row r="709" spans="6:8" ht="12.75">
      <c r="F709" s="3">
        <f>DATE(2005,10,1)</f>
        <v>38626</v>
      </c>
      <c r="G709">
        <v>199.2</v>
      </c>
      <c r="H709">
        <v>199.1</v>
      </c>
    </row>
    <row r="710" spans="6:8" ht="12.75">
      <c r="F710" s="3">
        <f>DATE(2005,11,1)</f>
        <v>38657</v>
      </c>
      <c r="G710">
        <v>197.6</v>
      </c>
      <c r="H710">
        <v>197.8</v>
      </c>
    </row>
    <row r="711" spans="6:8" ht="12.75">
      <c r="F711" s="3">
        <f>DATE(2005,12,1)</f>
        <v>38687</v>
      </c>
      <c r="G711">
        <v>196.8</v>
      </c>
      <c r="H711">
        <v>197.7</v>
      </c>
    </row>
    <row r="712" spans="6:8" ht="12.75">
      <c r="F712" s="3">
        <f>DATE(2006,1,1)</f>
        <v>38718</v>
      </c>
      <c r="G712">
        <v>198.3</v>
      </c>
      <c r="H712">
        <v>199</v>
      </c>
    </row>
    <row r="713" spans="6:8" ht="12.75">
      <c r="F713" s="3">
        <f>DATE(2006,2,1)</f>
        <v>38749</v>
      </c>
      <c r="G713">
        <v>198.7</v>
      </c>
      <c r="H713">
        <v>199.1</v>
      </c>
    </row>
    <row r="714" spans="6:8" ht="12.75">
      <c r="F714" s="3">
        <f>DATE(2006,3,1)</f>
        <v>38777</v>
      </c>
      <c r="G714">
        <v>199.8</v>
      </c>
      <c r="H714">
        <v>199.8</v>
      </c>
    </row>
    <row r="715" spans="6:8" ht="12.75">
      <c r="F715" s="3">
        <f>DATE(2006,4,1)</f>
        <v>38808</v>
      </c>
      <c r="G715">
        <v>201.5</v>
      </c>
      <c r="H715">
        <v>201</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NEAS</cp:lastModifiedBy>
  <dcterms:created xsi:type="dcterms:W3CDTF">2008-05-23T15:29:49Z</dcterms:created>
  <dcterms:modified xsi:type="dcterms:W3CDTF">2008-05-26T11:54:32Z</dcterms:modified>
  <cp:category/>
  <cp:version/>
  <cp:contentType/>
  <cp:contentStatus/>
</cp:coreProperties>
</file>